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drawings/drawing5.xml" ContentType="application/vnd.openxmlformats-officedocument.drawingml.chartshapes+xml"/>
  <Override PartName="/xl/workbook.xml" ContentType="application/vnd.openxmlformats-officedocument.spreadsheetml.sheet.main+xml"/>
  <Override PartName="/xl/worksheets/sheet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3.xml" ContentType="application/vnd.openxmlformats-officedocument.drawingml.chart+xml"/>
  <Override PartName="/xl/drawings/drawing4.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charts/chart2.xml" ContentType="application/vnd.openxmlformats-officedocument.drawingml.char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styles.xml" ContentType="application/vnd.openxmlformats-officedocument.spreadsheetml.styles+xml"/>
  <Override PartName="/xl/worksheets/sheet1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Z:\מטש\דוחות חודשיים 2025\"/>
    </mc:Choice>
  </mc:AlternateContent>
  <xr:revisionPtr revIDLastSave="0" documentId="8_{96B287D0-2912-4EDE-A796-91CAD08D5EEA}" xr6:coauthVersionLast="36" xr6:coauthVersionMax="36" xr10:uidLastSave="{00000000-0000-0000-0000-000000000000}"/>
  <bookViews>
    <workbookView xWindow="0" yWindow="0" windowWidth="28800" windowHeight="12255" tabRatio="781" xr2:uid="{00000000-000D-0000-FFFF-FFFF00000000}"/>
  </bookViews>
  <sheets>
    <sheet name="סיכום" sheetId="41" r:id="rId1"/>
    <sheet name="ספיקות" sheetId="4" r:id="rId2"/>
    <sheet name="איכות שפכים" sheetId="33" r:id="rId3"/>
    <sheet name="קולחין שניוני" sheetId="42" r:id="rId4"/>
    <sheet name="קולחין שלישוני" sheetId="50" r:id="rId5"/>
    <sheet name="יחידת טיפול " sheetId="7" r:id="rId6"/>
    <sheet name="טיפול וסילוק בוצה" sheetId="9" r:id="rId7"/>
    <sheet name="עומסי שפכים וצריכת אנרגיה" sheetId="6" r:id="rId8"/>
    <sheet name="גרף ספיקות כניסה" sheetId="43" r:id="rId9"/>
    <sheet name="גרף אנרגיה עומסים" sheetId="46" r:id="rId10"/>
    <sheet name="Table" sheetId="49" r:id="rId11"/>
  </sheets>
  <definedNames>
    <definedName name="ExternalData_1" localSheetId="10">Table!#REF!</definedName>
    <definedName name="ExternalData_10" localSheetId="10">Table!#REF!</definedName>
    <definedName name="ExternalData_11" localSheetId="10">Table!#REF!</definedName>
    <definedName name="ExternalData_12" localSheetId="10">Table!#REF!</definedName>
    <definedName name="ExternalData_2" localSheetId="10">Table!#REF!</definedName>
    <definedName name="ExternalData_3" localSheetId="10">Table!#REF!</definedName>
    <definedName name="ExternalData_4" localSheetId="10">Table!#REF!</definedName>
    <definedName name="ExternalData_5" localSheetId="10">Table!#REF!</definedName>
    <definedName name="ExternalData_6" localSheetId="10">Table!#REF!</definedName>
    <definedName name="ExternalData_7" localSheetId="10">Table!#REF!</definedName>
    <definedName name="ExternalData_8" localSheetId="10">Table!#REF!</definedName>
    <definedName name="ExternalData_9" localSheetId="10">Table!#REF!</definedName>
    <definedName name="_xlnm.Recorder">#REF!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9" i="49" l="1"/>
  <c r="F19" i="49"/>
  <c r="G19" i="49"/>
  <c r="D20" i="49"/>
  <c r="E20" i="49"/>
  <c r="F20" i="49"/>
  <c r="G20" i="49"/>
  <c r="D21" i="49"/>
  <c r="E21" i="49"/>
  <c r="F21" i="49"/>
  <c r="G21" i="49"/>
  <c r="D22" i="49"/>
  <c r="E22" i="49"/>
  <c r="F22" i="49"/>
  <c r="G22" i="49"/>
  <c r="M18" i="7" l="1"/>
  <c r="M17" i="7"/>
  <c r="M16" i="7"/>
  <c r="M15" i="7"/>
  <c r="M14" i="7"/>
  <c r="M13" i="7"/>
  <c r="M12" i="7"/>
  <c r="M8" i="7"/>
  <c r="M9" i="7"/>
  <c r="A27" i="6" l="1"/>
  <c r="A28" i="6"/>
  <c r="A29" i="6"/>
  <c r="A30" i="6"/>
  <c r="A31" i="6"/>
  <c r="A32" i="6"/>
  <c r="A33" i="6"/>
  <c r="A34" i="6"/>
  <c r="A35" i="6"/>
  <c r="A36" i="6"/>
  <c r="A37" i="6"/>
  <c r="A26" i="6"/>
  <c r="D38" i="6" l="1"/>
  <c r="G38" i="6"/>
  <c r="C38" i="6"/>
  <c r="F38" i="6"/>
  <c r="E38" i="6"/>
  <c r="A6" i="4" l="1"/>
  <c r="A8" i="4"/>
  <c r="A9" i="4"/>
  <c r="A10" i="4"/>
  <c r="A11" i="4"/>
  <c r="A12" i="4"/>
  <c r="A13" i="4"/>
  <c r="A14" i="4"/>
  <c r="A15" i="4"/>
  <c r="A16" i="4"/>
  <c r="A17" i="4"/>
  <c r="CR22" i="49"/>
  <c r="CR21" i="49"/>
  <c r="CR20" i="49"/>
  <c r="CF22" i="49"/>
  <c r="CF21" i="49"/>
  <c r="CF20" i="49"/>
  <c r="C12" i="4"/>
  <c r="B32" i="6" s="1"/>
  <c r="CF19" i="49"/>
  <c r="I19" i="49"/>
  <c r="F17" i="4"/>
  <c r="F16" i="4"/>
  <c r="F15" i="4"/>
  <c r="F14" i="4"/>
  <c r="F13" i="4"/>
  <c r="F12" i="4"/>
  <c r="F11" i="4"/>
  <c r="F10" i="4"/>
  <c r="F9" i="4"/>
  <c r="F7" i="4"/>
  <c r="F6" i="4"/>
  <c r="C17" i="4"/>
  <c r="C16" i="4"/>
  <c r="C15" i="4"/>
  <c r="C14" i="4"/>
  <c r="C13" i="4"/>
  <c r="C11" i="4"/>
  <c r="B31" i="6" s="1"/>
  <c r="C10" i="4"/>
  <c r="C9" i="4"/>
  <c r="C7" i="4"/>
  <c r="C6" i="4"/>
  <c r="D7" i="33"/>
  <c r="BO20" i="49"/>
  <c r="BO21" i="49"/>
  <c r="BO22" i="49"/>
  <c r="BN20" i="49"/>
  <c r="BN21" i="49"/>
  <c r="BN22" i="49"/>
  <c r="AG22" i="49"/>
  <c r="AF22" i="49"/>
  <c r="AG21" i="49"/>
  <c r="AF21" i="49"/>
  <c r="AG20" i="49"/>
  <c r="AF20" i="49"/>
  <c r="F10" i="42"/>
  <c r="B8" i="4"/>
  <c r="B9" i="6" s="1"/>
  <c r="CR19" i="49"/>
  <c r="M18" i="6"/>
  <c r="M17" i="6"/>
  <c r="M11" i="6"/>
  <c r="N11" i="6" s="1"/>
  <c r="M10" i="6"/>
  <c r="N10" i="6" s="1"/>
  <c r="M9" i="6"/>
  <c r="M8" i="6"/>
  <c r="N8" i="6" s="1"/>
  <c r="M12" i="6"/>
  <c r="N12" i="6" s="1"/>
  <c r="M13" i="6"/>
  <c r="N13" i="6" s="1"/>
  <c r="M14" i="6"/>
  <c r="N14" i="6" s="1"/>
  <c r="M15" i="6"/>
  <c r="N15" i="6" s="1"/>
  <c r="CQ22" i="49"/>
  <c r="CP22" i="49"/>
  <c r="CO22" i="49"/>
  <c r="CN22" i="49"/>
  <c r="CM22" i="49"/>
  <c r="CL22" i="49"/>
  <c r="CK22" i="49"/>
  <c r="CJ22" i="49"/>
  <c r="CI22" i="49"/>
  <c r="CH22" i="49"/>
  <c r="CG22" i="49"/>
  <c r="CD22" i="49"/>
  <c r="CC22" i="49"/>
  <c r="CB22" i="49"/>
  <c r="CA22" i="49"/>
  <c r="BZ22" i="49"/>
  <c r="BY22" i="49"/>
  <c r="BX22" i="49"/>
  <c r="BW22" i="49"/>
  <c r="BV22" i="49"/>
  <c r="BU22" i="49"/>
  <c r="BT22" i="49"/>
  <c r="BS22" i="49"/>
  <c r="BR22" i="49"/>
  <c r="BQ22" i="49"/>
  <c r="BP22" i="49"/>
  <c r="BM22" i="49"/>
  <c r="BL22" i="49"/>
  <c r="BK22" i="49"/>
  <c r="BJ22" i="49"/>
  <c r="BI22" i="49"/>
  <c r="BH22" i="49"/>
  <c r="BG22" i="49"/>
  <c r="BF22" i="49"/>
  <c r="BE22" i="49"/>
  <c r="BD22" i="49"/>
  <c r="BC22" i="49"/>
  <c r="BB22" i="49"/>
  <c r="BA22" i="49"/>
  <c r="AZ22" i="49"/>
  <c r="AY22" i="49"/>
  <c r="AX22" i="49"/>
  <c r="AW22" i="49"/>
  <c r="AV22" i="49"/>
  <c r="AU22" i="49"/>
  <c r="AT22" i="49"/>
  <c r="AS22" i="49"/>
  <c r="AR22" i="49"/>
  <c r="AQ22" i="49"/>
  <c r="AP22" i="49"/>
  <c r="AO22" i="49"/>
  <c r="AN22" i="49"/>
  <c r="AM22" i="49"/>
  <c r="AL22" i="49"/>
  <c r="AK22" i="49"/>
  <c r="AJ22" i="49"/>
  <c r="AI22" i="49"/>
  <c r="AH22" i="49"/>
  <c r="AE22" i="49"/>
  <c r="AD22" i="49"/>
  <c r="AC22" i="49"/>
  <c r="AB22" i="49"/>
  <c r="AA22" i="49"/>
  <c r="Z22" i="49"/>
  <c r="Y22" i="49"/>
  <c r="X22" i="49"/>
  <c r="W22" i="49"/>
  <c r="V22" i="49"/>
  <c r="U22" i="49"/>
  <c r="T22" i="49"/>
  <c r="S22" i="49"/>
  <c r="R22" i="49"/>
  <c r="Q22" i="49"/>
  <c r="P22" i="49"/>
  <c r="O22" i="49"/>
  <c r="N22" i="49"/>
  <c r="M22" i="49"/>
  <c r="L22" i="49"/>
  <c r="K22" i="49"/>
  <c r="J22" i="49"/>
  <c r="Q8" i="9"/>
  <c r="Q9" i="9"/>
  <c r="Q10" i="9"/>
  <c r="Q11" i="9"/>
  <c r="Q12" i="9"/>
  <c r="Q13" i="9"/>
  <c r="Q14" i="9"/>
  <c r="Q15" i="9"/>
  <c r="Q16" i="9"/>
  <c r="Q17" i="9"/>
  <c r="Q18" i="9"/>
  <c r="CQ21" i="49"/>
  <c r="CP21" i="49"/>
  <c r="CO21" i="49"/>
  <c r="CM21" i="49"/>
  <c r="CL21" i="49"/>
  <c r="CK21" i="49"/>
  <c r="CJ21" i="49"/>
  <c r="CI21" i="49"/>
  <c r="CH21" i="49"/>
  <c r="CG21" i="49"/>
  <c r="CD21" i="49"/>
  <c r="CC21" i="49"/>
  <c r="CB21" i="49"/>
  <c r="CA21" i="49"/>
  <c r="BZ21" i="49"/>
  <c r="BY21" i="49"/>
  <c r="BX21" i="49"/>
  <c r="BW21" i="49"/>
  <c r="BV21" i="49"/>
  <c r="BU21" i="49"/>
  <c r="BT21" i="49"/>
  <c r="BS21" i="49"/>
  <c r="BR21" i="49"/>
  <c r="BQ21" i="49"/>
  <c r="BP21" i="49"/>
  <c r="BL21" i="49"/>
  <c r="BK21" i="49"/>
  <c r="BJ21" i="49"/>
  <c r="BI21" i="49"/>
  <c r="BH21" i="49"/>
  <c r="BG21" i="49"/>
  <c r="BF21" i="49"/>
  <c r="BE21" i="49"/>
  <c r="BD21" i="49"/>
  <c r="BC21" i="49"/>
  <c r="BB21" i="49"/>
  <c r="BA21" i="49"/>
  <c r="AZ21" i="49"/>
  <c r="AY21" i="49"/>
  <c r="AX21" i="49"/>
  <c r="AW21" i="49"/>
  <c r="AV21" i="49"/>
  <c r="AU21" i="49"/>
  <c r="AT21" i="49"/>
  <c r="AS21" i="49"/>
  <c r="AQ21" i="49"/>
  <c r="AP21" i="49"/>
  <c r="AO21" i="49"/>
  <c r="AN21" i="49"/>
  <c r="AM21" i="49"/>
  <c r="AL21" i="49"/>
  <c r="AK21" i="49"/>
  <c r="AJ21" i="49"/>
  <c r="AI21" i="49"/>
  <c r="AH21" i="49"/>
  <c r="AD21" i="49"/>
  <c r="AC21" i="49"/>
  <c r="AB21" i="49"/>
  <c r="AA21" i="49"/>
  <c r="Z21" i="49"/>
  <c r="Y21" i="49"/>
  <c r="X21" i="49"/>
  <c r="W21" i="49"/>
  <c r="V21" i="49"/>
  <c r="U21" i="49"/>
  <c r="S21" i="49"/>
  <c r="R21" i="49"/>
  <c r="Q21" i="49"/>
  <c r="P21" i="49"/>
  <c r="O21" i="49"/>
  <c r="N21" i="49"/>
  <c r="M21" i="49"/>
  <c r="L21" i="49"/>
  <c r="K21" i="49"/>
  <c r="J21" i="49"/>
  <c r="CQ20" i="49"/>
  <c r="CP20" i="49"/>
  <c r="CO20" i="49"/>
  <c r="CM20" i="49"/>
  <c r="CL20" i="49"/>
  <c r="CK20" i="49"/>
  <c r="CJ20" i="49"/>
  <c r="CI20" i="49"/>
  <c r="CH20" i="49"/>
  <c r="CG20" i="49"/>
  <c r="CD20" i="49"/>
  <c r="CC20" i="49"/>
  <c r="CB20" i="49"/>
  <c r="CA20" i="49"/>
  <c r="BZ20" i="49"/>
  <c r="BY20" i="49"/>
  <c r="BX20" i="49"/>
  <c r="BW20" i="49"/>
  <c r="BV20" i="49"/>
  <c r="BU20" i="49"/>
  <c r="BT20" i="49"/>
  <c r="BS20" i="49"/>
  <c r="BR20" i="49"/>
  <c r="BQ20" i="49"/>
  <c r="BP20" i="49"/>
  <c r="BL20" i="49"/>
  <c r="BK20" i="49"/>
  <c r="BJ20" i="49"/>
  <c r="BI20" i="49"/>
  <c r="BH20" i="49"/>
  <c r="BG20" i="49"/>
  <c r="BF20" i="49"/>
  <c r="BE20" i="49"/>
  <c r="BD20" i="49"/>
  <c r="BC20" i="49"/>
  <c r="BB20" i="49"/>
  <c r="BA20" i="49"/>
  <c r="AZ20" i="49"/>
  <c r="AY20" i="49"/>
  <c r="AX20" i="49"/>
  <c r="AW20" i="49"/>
  <c r="AV20" i="49"/>
  <c r="AU20" i="49"/>
  <c r="AT20" i="49"/>
  <c r="AS20" i="49"/>
  <c r="AQ20" i="49"/>
  <c r="AP20" i="49"/>
  <c r="AO20" i="49"/>
  <c r="AN20" i="49"/>
  <c r="AM20" i="49"/>
  <c r="AL20" i="49"/>
  <c r="AK20" i="49"/>
  <c r="AJ20" i="49"/>
  <c r="AI20" i="49"/>
  <c r="AH20" i="49"/>
  <c r="AD20" i="49"/>
  <c r="AC20" i="49"/>
  <c r="AB20" i="49"/>
  <c r="AA20" i="49"/>
  <c r="Z20" i="49"/>
  <c r="Y20" i="49"/>
  <c r="X20" i="49"/>
  <c r="W20" i="49"/>
  <c r="V20" i="49"/>
  <c r="U20" i="49"/>
  <c r="S20" i="49"/>
  <c r="R20" i="49"/>
  <c r="Q20" i="49"/>
  <c r="P20" i="49"/>
  <c r="O20" i="49"/>
  <c r="N20" i="49"/>
  <c r="M20" i="49"/>
  <c r="L20" i="49"/>
  <c r="K20" i="49"/>
  <c r="J20" i="49"/>
  <c r="CQ19" i="49"/>
  <c r="CP19" i="49"/>
  <c r="CO19" i="49"/>
  <c r="A9" i="7"/>
  <c r="A8" i="6"/>
  <c r="C7" i="50"/>
  <c r="C11" i="41"/>
  <c r="M17" i="33"/>
  <c r="M16" i="33"/>
  <c r="M15" i="33"/>
  <c r="M14" i="33"/>
  <c r="M13" i="33"/>
  <c r="M12" i="33"/>
  <c r="M11" i="33"/>
  <c r="M10" i="33"/>
  <c r="M9" i="33"/>
  <c r="M8" i="33"/>
  <c r="M7" i="33"/>
  <c r="I17" i="4"/>
  <c r="J17" i="4" s="1"/>
  <c r="I16" i="4"/>
  <c r="I15" i="4"/>
  <c r="I14" i="4"/>
  <c r="I13" i="4"/>
  <c r="I12" i="4"/>
  <c r="I11" i="4"/>
  <c r="I10" i="4"/>
  <c r="I9" i="4"/>
  <c r="I8" i="4"/>
  <c r="I7" i="4"/>
  <c r="D17" i="4"/>
  <c r="D16" i="4"/>
  <c r="D15" i="4"/>
  <c r="D14" i="4"/>
  <c r="D13" i="4"/>
  <c r="D12" i="4"/>
  <c r="D11" i="4"/>
  <c r="D10" i="4"/>
  <c r="D9" i="4"/>
  <c r="D8" i="4"/>
  <c r="D7" i="4"/>
  <c r="C17" i="33"/>
  <c r="C16" i="33"/>
  <c r="C15" i="33"/>
  <c r="C14" i="33"/>
  <c r="C13" i="33"/>
  <c r="C12" i="33"/>
  <c r="C11" i="33"/>
  <c r="C10" i="33"/>
  <c r="C9" i="33"/>
  <c r="C8" i="33"/>
  <c r="C7" i="33"/>
  <c r="W9" i="33"/>
  <c r="W12" i="33"/>
  <c r="W14" i="33"/>
  <c r="W15" i="33"/>
  <c r="W16" i="33"/>
  <c r="W17" i="33"/>
  <c r="V9" i="33"/>
  <c r="V12" i="33"/>
  <c r="V14" i="33"/>
  <c r="V15" i="33"/>
  <c r="V16" i="33"/>
  <c r="V17" i="33"/>
  <c r="U9" i="33"/>
  <c r="U12" i="33"/>
  <c r="U14" i="33"/>
  <c r="U15" i="33"/>
  <c r="U16" i="33"/>
  <c r="U17" i="33"/>
  <c r="T9" i="33"/>
  <c r="T12" i="33"/>
  <c r="T14" i="33"/>
  <c r="T15" i="33"/>
  <c r="T16" i="33"/>
  <c r="T17" i="33"/>
  <c r="S7" i="33"/>
  <c r="S8" i="33"/>
  <c r="S9" i="33"/>
  <c r="S10" i="33"/>
  <c r="S11" i="33"/>
  <c r="S12" i="33"/>
  <c r="S13" i="33"/>
  <c r="S14" i="33"/>
  <c r="S15" i="33"/>
  <c r="S16" i="33"/>
  <c r="S17" i="33"/>
  <c r="R9" i="33"/>
  <c r="R12" i="33"/>
  <c r="R14" i="33"/>
  <c r="R15" i="33"/>
  <c r="R16" i="33"/>
  <c r="R17" i="33"/>
  <c r="Q7" i="33"/>
  <c r="Q8" i="33"/>
  <c r="Q9" i="33"/>
  <c r="Q10" i="33"/>
  <c r="Q11" i="33"/>
  <c r="Q12" i="33"/>
  <c r="Q13" i="33"/>
  <c r="Q14" i="33"/>
  <c r="Q15" i="33"/>
  <c r="Q16" i="33"/>
  <c r="Q17" i="33"/>
  <c r="P7" i="33"/>
  <c r="P8" i="33"/>
  <c r="P9" i="33"/>
  <c r="P10" i="33"/>
  <c r="P11" i="33"/>
  <c r="P12" i="33"/>
  <c r="P13" i="33"/>
  <c r="P14" i="33"/>
  <c r="P15" i="33"/>
  <c r="P16" i="33"/>
  <c r="P17" i="33"/>
  <c r="O7" i="33"/>
  <c r="O8" i="33"/>
  <c r="O9" i="33"/>
  <c r="O10" i="33"/>
  <c r="O11" i="33"/>
  <c r="O12" i="33"/>
  <c r="O13" i="33"/>
  <c r="O14" i="33"/>
  <c r="O15" i="33"/>
  <c r="O16" i="33"/>
  <c r="O17" i="33"/>
  <c r="N7" i="33"/>
  <c r="N8" i="33"/>
  <c r="N9" i="33"/>
  <c r="N10" i="33"/>
  <c r="N11" i="33"/>
  <c r="N12" i="33"/>
  <c r="N13" i="33"/>
  <c r="N14" i="33"/>
  <c r="N15" i="33"/>
  <c r="N16" i="33"/>
  <c r="N17" i="33"/>
  <c r="L7" i="33"/>
  <c r="L8" i="33"/>
  <c r="L9" i="33"/>
  <c r="L10" i="33"/>
  <c r="L11" i="33"/>
  <c r="L12" i="33"/>
  <c r="L13" i="33"/>
  <c r="L14" i="33"/>
  <c r="L15" i="33"/>
  <c r="L16" i="33"/>
  <c r="L17" i="33"/>
  <c r="K7" i="33"/>
  <c r="K8" i="33"/>
  <c r="K9" i="33"/>
  <c r="K10" i="33"/>
  <c r="K11" i="33"/>
  <c r="K12" i="33"/>
  <c r="K13" i="33"/>
  <c r="K14" i="33"/>
  <c r="K15" i="33"/>
  <c r="K16" i="33"/>
  <c r="K17" i="33"/>
  <c r="J7" i="33"/>
  <c r="J8" i="33"/>
  <c r="J9" i="33"/>
  <c r="J10" i="33"/>
  <c r="J11" i="33"/>
  <c r="J12" i="33"/>
  <c r="J13" i="33"/>
  <c r="J14" i="33"/>
  <c r="J15" i="33"/>
  <c r="J16" i="33"/>
  <c r="J17" i="33"/>
  <c r="I7" i="33"/>
  <c r="I8" i="33"/>
  <c r="I9" i="33"/>
  <c r="I10" i="33"/>
  <c r="I11" i="33"/>
  <c r="I12" i="33"/>
  <c r="I13" i="33"/>
  <c r="I14" i="33"/>
  <c r="I15" i="33"/>
  <c r="I16" i="33"/>
  <c r="I17" i="33"/>
  <c r="H7" i="33"/>
  <c r="H8" i="33"/>
  <c r="H9" i="33"/>
  <c r="H10" i="33"/>
  <c r="H11" i="33"/>
  <c r="H12" i="33"/>
  <c r="H13" i="33"/>
  <c r="H14" i="33"/>
  <c r="H15" i="33"/>
  <c r="H16" i="33"/>
  <c r="H17" i="33"/>
  <c r="G7" i="33"/>
  <c r="G8" i="33"/>
  <c r="G9" i="33"/>
  <c r="G10" i="33"/>
  <c r="G11" i="33"/>
  <c r="G12" i="33"/>
  <c r="G13" i="33"/>
  <c r="G14" i="33"/>
  <c r="G15" i="33"/>
  <c r="G16" i="33"/>
  <c r="G17" i="33"/>
  <c r="F7" i="33"/>
  <c r="F8" i="33"/>
  <c r="F9" i="33"/>
  <c r="F10" i="33"/>
  <c r="F11" i="33"/>
  <c r="F12" i="33"/>
  <c r="F13" i="33"/>
  <c r="F14" i="33"/>
  <c r="F15" i="33"/>
  <c r="F16" i="33"/>
  <c r="F17" i="33"/>
  <c r="E7" i="33"/>
  <c r="E8" i="33"/>
  <c r="E9" i="33"/>
  <c r="E10" i="33"/>
  <c r="E11" i="33"/>
  <c r="E12" i="33"/>
  <c r="E13" i="33"/>
  <c r="E14" i="33"/>
  <c r="E15" i="33"/>
  <c r="E16" i="33"/>
  <c r="E17" i="33"/>
  <c r="D8" i="33"/>
  <c r="D9" i="33"/>
  <c r="D10" i="33"/>
  <c r="D11" i="33"/>
  <c r="D12" i="33"/>
  <c r="D13" i="33"/>
  <c r="D14" i="33"/>
  <c r="D15" i="33"/>
  <c r="D16" i="33"/>
  <c r="D17" i="33"/>
  <c r="N12" i="42"/>
  <c r="N14" i="42"/>
  <c r="N16" i="42"/>
  <c r="N17" i="42"/>
  <c r="L7" i="42"/>
  <c r="L8" i="42"/>
  <c r="L9" i="42"/>
  <c r="L10" i="42"/>
  <c r="L11" i="42"/>
  <c r="L12" i="42"/>
  <c r="L13" i="42"/>
  <c r="L14" i="42"/>
  <c r="L15" i="42"/>
  <c r="L16" i="42"/>
  <c r="L17" i="42"/>
  <c r="K7" i="42"/>
  <c r="K8" i="42"/>
  <c r="K9" i="42"/>
  <c r="K10" i="42"/>
  <c r="K11" i="42"/>
  <c r="K12" i="42"/>
  <c r="K13" i="42"/>
  <c r="K14" i="42"/>
  <c r="K15" i="42"/>
  <c r="K16" i="42"/>
  <c r="K17" i="42"/>
  <c r="J7" i="42"/>
  <c r="J8" i="42"/>
  <c r="J9" i="42"/>
  <c r="J10" i="42"/>
  <c r="J11" i="42"/>
  <c r="J12" i="42"/>
  <c r="J13" i="42"/>
  <c r="J14" i="42"/>
  <c r="J15" i="42"/>
  <c r="J16" i="42"/>
  <c r="J17" i="42"/>
  <c r="I7" i="42"/>
  <c r="I8" i="42"/>
  <c r="I9" i="42"/>
  <c r="I10" i="42"/>
  <c r="I11" i="42"/>
  <c r="I12" i="42"/>
  <c r="I13" i="42"/>
  <c r="I14" i="42"/>
  <c r="I15" i="42"/>
  <c r="I16" i="42"/>
  <c r="I17" i="42"/>
  <c r="H7" i="42"/>
  <c r="H8" i="42"/>
  <c r="H9" i="42"/>
  <c r="H10" i="42"/>
  <c r="H11" i="42"/>
  <c r="H12" i="42"/>
  <c r="H13" i="42"/>
  <c r="H14" i="42"/>
  <c r="H15" i="42"/>
  <c r="H16" i="42"/>
  <c r="H17" i="42"/>
  <c r="G7" i="42"/>
  <c r="G8" i="42"/>
  <c r="G9" i="42"/>
  <c r="G10" i="42"/>
  <c r="G11" i="42"/>
  <c r="G12" i="42"/>
  <c r="G13" i="42"/>
  <c r="G14" i="42"/>
  <c r="G15" i="42"/>
  <c r="G16" i="42"/>
  <c r="G17" i="42"/>
  <c r="F7" i="42"/>
  <c r="F8" i="42"/>
  <c r="K9" i="6" s="1"/>
  <c r="F9" i="42"/>
  <c r="F12" i="42"/>
  <c r="F13" i="42"/>
  <c r="F14" i="42"/>
  <c r="F15" i="42"/>
  <c r="F16" i="42"/>
  <c r="F17" i="42"/>
  <c r="E7" i="42"/>
  <c r="E8" i="42"/>
  <c r="E9" i="42"/>
  <c r="E10" i="42"/>
  <c r="E11" i="42"/>
  <c r="E12" i="42"/>
  <c r="E13" i="42"/>
  <c r="E14" i="42"/>
  <c r="E15" i="42"/>
  <c r="E16" i="42"/>
  <c r="E17" i="42"/>
  <c r="D7" i="42"/>
  <c r="D8" i="42"/>
  <c r="D9" i="42"/>
  <c r="D10" i="42"/>
  <c r="D11" i="42"/>
  <c r="D12" i="42"/>
  <c r="D13" i="42"/>
  <c r="D14" i="42"/>
  <c r="D15" i="42"/>
  <c r="D16" i="42"/>
  <c r="D17" i="42"/>
  <c r="C7" i="42"/>
  <c r="C8" i="42"/>
  <c r="C9" i="42"/>
  <c r="C10" i="42"/>
  <c r="H11" i="6" s="1"/>
  <c r="C11" i="42"/>
  <c r="C12" i="42"/>
  <c r="C13" i="42"/>
  <c r="C14" i="42"/>
  <c r="C15" i="42"/>
  <c r="C16" i="42"/>
  <c r="C17" i="42"/>
  <c r="Y7" i="50"/>
  <c r="Y8" i="50"/>
  <c r="Y9" i="50"/>
  <c r="Y10" i="50"/>
  <c r="Y11" i="50"/>
  <c r="Y12" i="50"/>
  <c r="Y13" i="50"/>
  <c r="Y14" i="50"/>
  <c r="Y15" i="50"/>
  <c r="Y16" i="50"/>
  <c r="Y17" i="50"/>
  <c r="X7" i="50"/>
  <c r="X8" i="50"/>
  <c r="X9" i="50"/>
  <c r="X10" i="50"/>
  <c r="X11" i="50"/>
  <c r="X12" i="50"/>
  <c r="X13" i="50"/>
  <c r="X14" i="50"/>
  <c r="X15" i="50"/>
  <c r="X16" i="50"/>
  <c r="X17" i="50"/>
  <c r="W7" i="50"/>
  <c r="W8" i="50"/>
  <c r="W9" i="50"/>
  <c r="W10" i="50"/>
  <c r="W11" i="50"/>
  <c r="W12" i="50"/>
  <c r="W13" i="50"/>
  <c r="W14" i="50"/>
  <c r="W15" i="50"/>
  <c r="W16" i="50"/>
  <c r="W17" i="50"/>
  <c r="V7" i="50"/>
  <c r="V8" i="50"/>
  <c r="V9" i="50"/>
  <c r="V10" i="50"/>
  <c r="V11" i="50"/>
  <c r="V12" i="50"/>
  <c r="V13" i="50"/>
  <c r="V14" i="50"/>
  <c r="V15" i="50"/>
  <c r="V16" i="50"/>
  <c r="V17" i="50"/>
  <c r="U9" i="50"/>
  <c r="U12" i="50"/>
  <c r="U14" i="50"/>
  <c r="U15" i="50"/>
  <c r="U16" i="50"/>
  <c r="U17" i="50"/>
  <c r="T9" i="50"/>
  <c r="T12" i="50"/>
  <c r="T14" i="50"/>
  <c r="T15" i="50"/>
  <c r="T16" i="50"/>
  <c r="T17" i="50"/>
  <c r="S9" i="50"/>
  <c r="S12" i="50"/>
  <c r="S14" i="50"/>
  <c r="S15" i="50"/>
  <c r="S16" i="50"/>
  <c r="S17" i="50"/>
  <c r="R9" i="50"/>
  <c r="R12" i="50"/>
  <c r="R14" i="50"/>
  <c r="R15" i="50"/>
  <c r="R16" i="50"/>
  <c r="R17" i="50"/>
  <c r="Q7" i="50"/>
  <c r="Q8" i="50"/>
  <c r="Q9" i="50"/>
  <c r="Q10" i="50"/>
  <c r="Q11" i="50"/>
  <c r="Q12" i="50"/>
  <c r="Q13" i="50"/>
  <c r="Q14" i="50"/>
  <c r="Q15" i="50"/>
  <c r="Q16" i="50"/>
  <c r="Q17" i="50"/>
  <c r="P7" i="50"/>
  <c r="P8" i="50"/>
  <c r="P9" i="50"/>
  <c r="P10" i="50"/>
  <c r="P11" i="50"/>
  <c r="P12" i="50"/>
  <c r="P13" i="50"/>
  <c r="P14" i="50"/>
  <c r="P15" i="50"/>
  <c r="P16" i="50"/>
  <c r="P17" i="50"/>
  <c r="O7" i="50"/>
  <c r="O8" i="50"/>
  <c r="O9" i="50"/>
  <c r="O10" i="50"/>
  <c r="O11" i="50"/>
  <c r="O12" i="50"/>
  <c r="O13" i="50"/>
  <c r="O14" i="50"/>
  <c r="O15" i="50"/>
  <c r="O16" i="50"/>
  <c r="O17" i="50"/>
  <c r="N7" i="50"/>
  <c r="N8" i="50"/>
  <c r="N9" i="50"/>
  <c r="N10" i="50"/>
  <c r="N11" i="50"/>
  <c r="N12" i="50"/>
  <c r="N13" i="50"/>
  <c r="N14" i="50"/>
  <c r="N15" i="50"/>
  <c r="N16" i="50"/>
  <c r="N17" i="50"/>
  <c r="M7" i="50"/>
  <c r="M8" i="50"/>
  <c r="M9" i="50"/>
  <c r="M10" i="50"/>
  <c r="M11" i="50"/>
  <c r="M12" i="50"/>
  <c r="M13" i="50"/>
  <c r="M14" i="50"/>
  <c r="M15" i="50"/>
  <c r="M16" i="50"/>
  <c r="M17" i="50"/>
  <c r="L7" i="50"/>
  <c r="L8" i="50"/>
  <c r="L9" i="50"/>
  <c r="L10" i="50"/>
  <c r="L11" i="50"/>
  <c r="L12" i="50"/>
  <c r="L13" i="50"/>
  <c r="L14" i="50"/>
  <c r="L15" i="50"/>
  <c r="L16" i="50"/>
  <c r="L17" i="50"/>
  <c r="K7" i="50"/>
  <c r="K8" i="50"/>
  <c r="K9" i="50"/>
  <c r="K10" i="50"/>
  <c r="K11" i="50"/>
  <c r="K12" i="50"/>
  <c r="K13" i="50"/>
  <c r="K14" i="50"/>
  <c r="K15" i="50"/>
  <c r="K16" i="50"/>
  <c r="K17" i="50"/>
  <c r="J7" i="50"/>
  <c r="J8" i="50"/>
  <c r="J9" i="50"/>
  <c r="J10" i="50"/>
  <c r="J11" i="50"/>
  <c r="J12" i="50"/>
  <c r="J13" i="50"/>
  <c r="J14" i="50"/>
  <c r="J15" i="50"/>
  <c r="J16" i="50"/>
  <c r="J17" i="50"/>
  <c r="I7" i="50"/>
  <c r="I8" i="50"/>
  <c r="I9" i="50"/>
  <c r="I10" i="50"/>
  <c r="I11" i="50"/>
  <c r="I12" i="50"/>
  <c r="I13" i="50"/>
  <c r="I14" i="50"/>
  <c r="I15" i="50"/>
  <c r="I16" i="50"/>
  <c r="I17" i="50"/>
  <c r="H7" i="50"/>
  <c r="H8" i="50"/>
  <c r="H9" i="50"/>
  <c r="H10" i="50"/>
  <c r="H11" i="50"/>
  <c r="H12" i="50"/>
  <c r="H13" i="50"/>
  <c r="H14" i="50"/>
  <c r="H15" i="50"/>
  <c r="H16" i="50"/>
  <c r="H17" i="50"/>
  <c r="G7" i="50"/>
  <c r="G8" i="50"/>
  <c r="G9" i="50"/>
  <c r="G10" i="50"/>
  <c r="G11" i="50"/>
  <c r="G12" i="50"/>
  <c r="G13" i="50"/>
  <c r="G14" i="50"/>
  <c r="G15" i="50"/>
  <c r="G16" i="50"/>
  <c r="G17" i="50"/>
  <c r="F7" i="50"/>
  <c r="F8" i="50"/>
  <c r="F9" i="50"/>
  <c r="F10" i="50"/>
  <c r="F11" i="50"/>
  <c r="F12" i="50"/>
  <c r="F13" i="50"/>
  <c r="F14" i="50"/>
  <c r="F15" i="50"/>
  <c r="F16" i="50"/>
  <c r="F17" i="50"/>
  <c r="E7" i="50"/>
  <c r="E8" i="50"/>
  <c r="E9" i="50"/>
  <c r="E10" i="50"/>
  <c r="E11" i="50"/>
  <c r="E12" i="50"/>
  <c r="E13" i="50"/>
  <c r="E14" i="50"/>
  <c r="E15" i="50"/>
  <c r="E16" i="50"/>
  <c r="E17" i="50"/>
  <c r="D7" i="50"/>
  <c r="D8" i="50"/>
  <c r="D9" i="50"/>
  <c r="D10" i="50"/>
  <c r="D11" i="50"/>
  <c r="D12" i="50"/>
  <c r="D13" i="50"/>
  <c r="D14" i="50"/>
  <c r="D15" i="50"/>
  <c r="D16" i="50"/>
  <c r="D17" i="50"/>
  <c r="R8" i="7"/>
  <c r="R9" i="7"/>
  <c r="R10" i="7"/>
  <c r="R11" i="7"/>
  <c r="R12" i="7"/>
  <c r="R13" i="7"/>
  <c r="R14" i="7"/>
  <c r="R15" i="7"/>
  <c r="R16" i="7"/>
  <c r="R17" i="7"/>
  <c r="R18" i="7"/>
  <c r="Q8" i="7"/>
  <c r="Q9" i="7"/>
  <c r="Q10" i="7"/>
  <c r="Q11" i="7"/>
  <c r="Q12" i="7"/>
  <c r="Q13" i="7"/>
  <c r="Q14" i="7"/>
  <c r="Q15" i="7"/>
  <c r="Q16" i="7"/>
  <c r="Q17" i="7"/>
  <c r="Q18" i="7"/>
  <c r="L8" i="7"/>
  <c r="L9" i="7"/>
  <c r="L10" i="7"/>
  <c r="L11" i="7"/>
  <c r="L12" i="7"/>
  <c r="L13" i="7"/>
  <c r="L14" i="7"/>
  <c r="L15" i="7"/>
  <c r="L16" i="7"/>
  <c r="L17" i="7"/>
  <c r="L18" i="7"/>
  <c r="K8" i="7"/>
  <c r="K9" i="7"/>
  <c r="K10" i="7"/>
  <c r="K11" i="7"/>
  <c r="K12" i="7"/>
  <c r="K13" i="7"/>
  <c r="K14" i="7"/>
  <c r="K15" i="7"/>
  <c r="N15" i="7" s="1"/>
  <c r="K16" i="7"/>
  <c r="O16" i="7" s="1"/>
  <c r="K17" i="7"/>
  <c r="K18" i="7"/>
  <c r="M10" i="7"/>
  <c r="M11" i="7"/>
  <c r="J7" i="7"/>
  <c r="J8" i="7"/>
  <c r="J9" i="7"/>
  <c r="J10" i="7"/>
  <c r="J11" i="7"/>
  <c r="J12" i="7"/>
  <c r="J13" i="7"/>
  <c r="J14" i="7"/>
  <c r="J15" i="7"/>
  <c r="J16" i="7"/>
  <c r="J17" i="7"/>
  <c r="J18" i="7"/>
  <c r="I7" i="7"/>
  <c r="I8" i="7"/>
  <c r="I9" i="7"/>
  <c r="I10" i="7"/>
  <c r="I11" i="7"/>
  <c r="I12" i="7"/>
  <c r="I13" i="7"/>
  <c r="I14" i="7"/>
  <c r="I15" i="7"/>
  <c r="I16" i="7"/>
  <c r="I17" i="7"/>
  <c r="I18" i="7"/>
  <c r="D7" i="7"/>
  <c r="D8" i="7"/>
  <c r="D9" i="7"/>
  <c r="D10" i="7"/>
  <c r="D11" i="7"/>
  <c r="D12" i="7"/>
  <c r="D13" i="7"/>
  <c r="D14" i="7"/>
  <c r="D15" i="7"/>
  <c r="D16" i="7"/>
  <c r="D17" i="7"/>
  <c r="D18" i="7"/>
  <c r="C7" i="7"/>
  <c r="C8" i="7"/>
  <c r="C9" i="7"/>
  <c r="C10" i="7"/>
  <c r="C11" i="7"/>
  <c r="C12" i="7"/>
  <c r="C13" i="7"/>
  <c r="C14" i="7"/>
  <c r="C15" i="7"/>
  <c r="C16" i="7"/>
  <c r="C17" i="7"/>
  <c r="C18" i="7"/>
  <c r="E7" i="7"/>
  <c r="E8" i="7"/>
  <c r="E9" i="7"/>
  <c r="F9" i="7" s="1"/>
  <c r="E10" i="7"/>
  <c r="E11" i="7"/>
  <c r="E12" i="7"/>
  <c r="E13" i="7"/>
  <c r="E14" i="7"/>
  <c r="E15" i="7"/>
  <c r="E16" i="7"/>
  <c r="E17" i="7"/>
  <c r="F17" i="7" s="1"/>
  <c r="E18" i="7"/>
  <c r="R8" i="9"/>
  <c r="R9" i="9"/>
  <c r="R11" i="9"/>
  <c r="R13" i="9"/>
  <c r="R14" i="9"/>
  <c r="R15" i="9"/>
  <c r="R16" i="9"/>
  <c r="R17" i="9"/>
  <c r="R18" i="9"/>
  <c r="P8" i="9"/>
  <c r="P9" i="9"/>
  <c r="P10" i="9"/>
  <c r="P11" i="9"/>
  <c r="P12" i="9"/>
  <c r="P13" i="9"/>
  <c r="P14" i="9"/>
  <c r="P15" i="9"/>
  <c r="P16" i="9"/>
  <c r="P17" i="9"/>
  <c r="P18" i="9"/>
  <c r="O8" i="9"/>
  <c r="O9" i="9"/>
  <c r="O10" i="9"/>
  <c r="O11" i="9"/>
  <c r="O12" i="9"/>
  <c r="O13" i="9"/>
  <c r="O14" i="9"/>
  <c r="O15" i="9"/>
  <c r="O16" i="9"/>
  <c r="O17" i="9"/>
  <c r="O18" i="9"/>
  <c r="N8" i="9"/>
  <c r="N9" i="9"/>
  <c r="N10" i="9"/>
  <c r="N11" i="9"/>
  <c r="N12" i="9"/>
  <c r="N13" i="9"/>
  <c r="N14" i="9"/>
  <c r="N15" i="9"/>
  <c r="N16" i="9"/>
  <c r="N17" i="9"/>
  <c r="N18" i="9"/>
  <c r="M8" i="9"/>
  <c r="M9" i="9"/>
  <c r="M10" i="9"/>
  <c r="M11" i="9"/>
  <c r="M12" i="9"/>
  <c r="M13" i="9"/>
  <c r="M14" i="9"/>
  <c r="M15" i="9"/>
  <c r="M16" i="9"/>
  <c r="M17" i="9"/>
  <c r="M18" i="9"/>
  <c r="L8" i="9"/>
  <c r="L9" i="9"/>
  <c r="L10" i="9"/>
  <c r="L11" i="9"/>
  <c r="L12" i="9"/>
  <c r="L13" i="9"/>
  <c r="L14" i="9"/>
  <c r="L15" i="9"/>
  <c r="L16" i="9"/>
  <c r="L17" i="9"/>
  <c r="L18" i="9"/>
  <c r="K8" i="9"/>
  <c r="K9" i="9"/>
  <c r="K10" i="9"/>
  <c r="K11" i="9"/>
  <c r="K12" i="9"/>
  <c r="K13" i="9"/>
  <c r="K14" i="9"/>
  <c r="K15" i="9"/>
  <c r="K16" i="9"/>
  <c r="K17" i="9"/>
  <c r="K18" i="9"/>
  <c r="J8" i="9"/>
  <c r="J9" i="9"/>
  <c r="J10" i="9"/>
  <c r="J11" i="9"/>
  <c r="J12" i="9"/>
  <c r="J13" i="9"/>
  <c r="J14" i="9"/>
  <c r="J15" i="9"/>
  <c r="J16" i="9"/>
  <c r="J17" i="9"/>
  <c r="J18" i="9"/>
  <c r="D8" i="9"/>
  <c r="D9" i="9"/>
  <c r="D10" i="9"/>
  <c r="D11" i="9"/>
  <c r="D12" i="9"/>
  <c r="D13" i="9"/>
  <c r="D14" i="9"/>
  <c r="D15" i="9"/>
  <c r="D16" i="9"/>
  <c r="D17" i="9"/>
  <c r="D18" i="9"/>
  <c r="C8" i="9"/>
  <c r="C9" i="9"/>
  <c r="C10" i="9"/>
  <c r="C11" i="9"/>
  <c r="C12" i="9"/>
  <c r="C13" i="9"/>
  <c r="C14" i="9"/>
  <c r="C15" i="9"/>
  <c r="C16" i="9"/>
  <c r="C17" i="9"/>
  <c r="C18" i="9"/>
  <c r="K10" i="4"/>
  <c r="K9" i="4"/>
  <c r="K11" i="4"/>
  <c r="K7" i="4"/>
  <c r="K6" i="4"/>
  <c r="K8" i="4"/>
  <c r="K12" i="4"/>
  <c r="K13" i="4"/>
  <c r="K14" i="4"/>
  <c r="K15" i="4"/>
  <c r="K16" i="4"/>
  <c r="K17" i="4"/>
  <c r="C8" i="50"/>
  <c r="C9" i="50"/>
  <c r="C10" i="50"/>
  <c r="C11" i="50"/>
  <c r="C12" i="50"/>
  <c r="C13" i="50"/>
  <c r="C14" i="50"/>
  <c r="C15" i="50"/>
  <c r="C16" i="50"/>
  <c r="C17" i="50"/>
  <c r="A18" i="6"/>
  <c r="A17" i="6"/>
  <c r="A16" i="6"/>
  <c r="A15" i="6"/>
  <c r="A14" i="6"/>
  <c r="A12" i="6"/>
  <c r="A11" i="6"/>
  <c r="A10" i="6"/>
  <c r="A9" i="6"/>
  <c r="A7" i="6"/>
  <c r="A18" i="9"/>
  <c r="A17" i="9"/>
  <c r="A16" i="9"/>
  <c r="A15" i="9"/>
  <c r="A14" i="9"/>
  <c r="A9" i="9"/>
  <c r="A8" i="9"/>
  <c r="A7" i="9"/>
  <c r="A17" i="7"/>
  <c r="A16" i="7"/>
  <c r="A15" i="7"/>
  <c r="A14" i="7"/>
  <c r="A12" i="7"/>
  <c r="A7" i="7"/>
  <c r="B17" i="50"/>
  <c r="A17" i="50"/>
  <c r="B16" i="50"/>
  <c r="A16" i="50"/>
  <c r="B15" i="50"/>
  <c r="A15" i="50"/>
  <c r="B14" i="50"/>
  <c r="A14" i="50"/>
  <c r="A11" i="50"/>
  <c r="A9" i="50"/>
  <c r="B8" i="50"/>
  <c r="A8" i="50"/>
  <c r="B7" i="50"/>
  <c r="A7" i="50"/>
  <c r="B6" i="50"/>
  <c r="A6" i="50"/>
  <c r="A17" i="42"/>
  <c r="A16" i="42"/>
  <c r="A15" i="42"/>
  <c r="A14" i="42"/>
  <c r="A13" i="42"/>
  <c r="A12" i="42"/>
  <c r="A11" i="42"/>
  <c r="A6" i="42"/>
  <c r="A16" i="33"/>
  <c r="A15" i="33"/>
  <c r="A14" i="33"/>
  <c r="A13" i="33"/>
  <c r="A12" i="33"/>
  <c r="A11" i="33"/>
  <c r="A10" i="33"/>
  <c r="A6" i="33"/>
  <c r="M17" i="42"/>
  <c r="M16" i="42"/>
  <c r="M15" i="42"/>
  <c r="M14" i="42"/>
  <c r="M13" i="42"/>
  <c r="M12" i="42"/>
  <c r="M11" i="42"/>
  <c r="M10" i="42"/>
  <c r="M9" i="42"/>
  <c r="M8" i="42"/>
  <c r="M7" i="42"/>
  <c r="B13" i="50"/>
  <c r="A13" i="50"/>
  <c r="A13" i="7"/>
  <c r="A7" i="42"/>
  <c r="B9" i="50"/>
  <c r="A13" i="6"/>
  <c r="A10" i="50"/>
  <c r="A11" i="9"/>
  <c r="A10" i="9"/>
  <c r="A7" i="33"/>
  <c r="A8" i="42"/>
  <c r="B10" i="50"/>
  <c r="A8" i="7"/>
  <c r="A12" i="9"/>
  <c r="A7" i="4"/>
  <c r="A8" i="33"/>
  <c r="A9" i="42"/>
  <c r="B11" i="50"/>
  <c r="A18" i="7"/>
  <c r="A12" i="50"/>
  <c r="A13" i="9"/>
  <c r="A10" i="7"/>
  <c r="A9" i="33"/>
  <c r="A17" i="33"/>
  <c r="A10" i="42"/>
  <c r="B12" i="50"/>
  <c r="A11" i="7"/>
  <c r="E7" i="4"/>
  <c r="M16" i="6"/>
  <c r="B7" i="4"/>
  <c r="B8" i="6" s="1"/>
  <c r="B9" i="4"/>
  <c r="B10" i="6" s="1"/>
  <c r="D10" i="6" s="1"/>
  <c r="E8" i="4"/>
  <c r="E9" i="4"/>
  <c r="B10" i="4"/>
  <c r="B11" i="6" s="1"/>
  <c r="E10" i="4"/>
  <c r="B11" i="4"/>
  <c r="B12" i="6" s="1"/>
  <c r="E11" i="4"/>
  <c r="B12" i="4"/>
  <c r="B13" i="6" s="1"/>
  <c r="E12" i="4"/>
  <c r="B13" i="4"/>
  <c r="B14" i="6" s="1"/>
  <c r="E13" i="4"/>
  <c r="B14" i="4"/>
  <c r="B15" i="6" s="1"/>
  <c r="E14" i="4"/>
  <c r="B15" i="4"/>
  <c r="B16" i="6" s="1"/>
  <c r="E15" i="4"/>
  <c r="B16" i="4"/>
  <c r="B17" i="6" s="1"/>
  <c r="D17" i="6" s="1"/>
  <c r="E16" i="4"/>
  <c r="B17" i="4"/>
  <c r="B18" i="6" s="1"/>
  <c r="E17" i="4"/>
  <c r="N18" i="33" l="1"/>
  <c r="N23" i="33" s="1"/>
  <c r="E15" i="9"/>
  <c r="E13" i="9"/>
  <c r="E11" i="9"/>
  <c r="E16" i="9"/>
  <c r="F16" i="9" s="1"/>
  <c r="E14" i="9"/>
  <c r="E12" i="9"/>
  <c r="E10" i="9"/>
  <c r="E8" i="9"/>
  <c r="E9" i="9"/>
  <c r="I13" i="9"/>
  <c r="G18" i="6"/>
  <c r="I18" i="6"/>
  <c r="I15" i="6"/>
  <c r="K13" i="6"/>
  <c r="K12" i="6"/>
  <c r="I8" i="6"/>
  <c r="F8" i="6"/>
  <c r="I14" i="6"/>
  <c r="I16" i="9"/>
  <c r="J18" i="6"/>
  <c r="J15" i="6"/>
  <c r="O13" i="7"/>
  <c r="I17" i="9"/>
  <c r="L18" i="6"/>
  <c r="D18" i="6"/>
  <c r="F15" i="7"/>
  <c r="G15" i="7"/>
  <c r="H14" i="6"/>
  <c r="F14" i="6"/>
  <c r="J13" i="6"/>
  <c r="I11" i="9"/>
  <c r="I10" i="6"/>
  <c r="O8" i="7"/>
  <c r="F8" i="9" s="1"/>
  <c r="K10" i="6"/>
  <c r="C22" i="7"/>
  <c r="D21" i="7"/>
  <c r="O11" i="6"/>
  <c r="F14" i="7"/>
  <c r="K8" i="6"/>
  <c r="G9" i="7"/>
  <c r="O9" i="7"/>
  <c r="F9" i="9" s="1"/>
  <c r="I9" i="6"/>
  <c r="H12" i="6"/>
  <c r="N18" i="7"/>
  <c r="O17" i="7"/>
  <c r="F17" i="9" s="1"/>
  <c r="E17" i="6"/>
  <c r="C16" i="6"/>
  <c r="P16" i="6" s="1"/>
  <c r="H16" i="6"/>
  <c r="L16" i="6"/>
  <c r="E16" i="6"/>
  <c r="G16" i="6"/>
  <c r="O15" i="6"/>
  <c r="I14" i="9"/>
  <c r="D13" i="6"/>
  <c r="I13" i="6"/>
  <c r="J11" i="4"/>
  <c r="G13" i="6"/>
  <c r="I12" i="6"/>
  <c r="L12" i="6"/>
  <c r="I11" i="6"/>
  <c r="L9" i="6"/>
  <c r="D9" i="6"/>
  <c r="L8" i="6"/>
  <c r="H8" i="6"/>
  <c r="J6" i="4"/>
  <c r="N11" i="7"/>
  <c r="O15" i="7"/>
  <c r="F15" i="9" s="1"/>
  <c r="H15" i="6"/>
  <c r="C19" i="42"/>
  <c r="D36" i="41" s="1"/>
  <c r="C21" i="42"/>
  <c r="C20" i="42"/>
  <c r="E20" i="42"/>
  <c r="E19" i="42"/>
  <c r="D38" i="41" s="1"/>
  <c r="E21" i="42"/>
  <c r="G21" i="42"/>
  <c r="G20" i="42"/>
  <c r="G19" i="42"/>
  <c r="D40" i="41" s="1"/>
  <c r="C18" i="6"/>
  <c r="P18" i="6" s="1"/>
  <c r="I20" i="7"/>
  <c r="N17" i="7"/>
  <c r="N9" i="7"/>
  <c r="N14" i="7"/>
  <c r="O18" i="7"/>
  <c r="F18" i="9" s="1"/>
  <c r="K18" i="6"/>
  <c r="L17" i="6"/>
  <c r="C20" i="7"/>
  <c r="D51" i="41" s="1"/>
  <c r="F10" i="6"/>
  <c r="N16" i="7"/>
  <c r="I16" i="6"/>
  <c r="J11" i="6"/>
  <c r="C13" i="6"/>
  <c r="P13" i="6" s="1"/>
  <c r="C15" i="6"/>
  <c r="P15" i="6" s="1"/>
  <c r="F13" i="6"/>
  <c r="F18" i="7"/>
  <c r="E22" i="7"/>
  <c r="C21" i="7"/>
  <c r="G11" i="7"/>
  <c r="F20" i="42"/>
  <c r="F21" i="42"/>
  <c r="F19" i="42"/>
  <c r="D39" i="41" s="1"/>
  <c r="H21" i="42"/>
  <c r="H20" i="42"/>
  <c r="H19" i="42"/>
  <c r="D41" i="41" s="1"/>
  <c r="F9" i="6"/>
  <c r="D19" i="42"/>
  <c r="D37" i="41" s="1"/>
  <c r="D20" i="42"/>
  <c r="D21" i="42"/>
  <c r="G17" i="6"/>
  <c r="D12" i="6"/>
  <c r="E20" i="7"/>
  <c r="D53" i="41" s="1"/>
  <c r="J20" i="7"/>
  <c r="N10" i="7"/>
  <c r="H18" i="6"/>
  <c r="H10" i="6"/>
  <c r="J10" i="6"/>
  <c r="N19" i="42"/>
  <c r="E21" i="7"/>
  <c r="U19" i="50"/>
  <c r="T21" i="50"/>
  <c r="S19" i="50"/>
  <c r="S21" i="50"/>
  <c r="J22" i="7"/>
  <c r="G18" i="7"/>
  <c r="G17" i="4"/>
  <c r="H17" i="4" s="1"/>
  <c r="E18" i="6"/>
  <c r="F18" i="6"/>
  <c r="I17" i="6"/>
  <c r="J17" i="6"/>
  <c r="K17" i="6"/>
  <c r="J15" i="4"/>
  <c r="E18" i="4"/>
  <c r="D21" i="41" s="1"/>
  <c r="B36" i="6"/>
  <c r="F36" i="6" s="1"/>
  <c r="H17" i="7"/>
  <c r="P17" i="7"/>
  <c r="J16" i="6"/>
  <c r="K16" i="6"/>
  <c r="G15" i="4"/>
  <c r="H15" i="4" s="1"/>
  <c r="D16" i="6"/>
  <c r="J14" i="4"/>
  <c r="G14" i="7"/>
  <c r="J14" i="6"/>
  <c r="K14" i="6"/>
  <c r="D18" i="4"/>
  <c r="D19" i="41" s="1"/>
  <c r="D20" i="41" s="1"/>
  <c r="G14" i="6"/>
  <c r="E14" i="6"/>
  <c r="C14" i="6"/>
  <c r="P14" i="6" s="1"/>
  <c r="J19" i="50"/>
  <c r="G13" i="7"/>
  <c r="V19" i="50"/>
  <c r="R21" i="7"/>
  <c r="N13" i="7"/>
  <c r="L13" i="6"/>
  <c r="J12" i="4"/>
  <c r="G12" i="4"/>
  <c r="H12" i="4" s="1"/>
  <c r="E13" i="6"/>
  <c r="O13" i="6"/>
  <c r="O12" i="7"/>
  <c r="J12" i="6"/>
  <c r="F12" i="7"/>
  <c r="N12" i="7"/>
  <c r="H20" i="49"/>
  <c r="H21" i="49"/>
  <c r="F12" i="6"/>
  <c r="G12" i="6"/>
  <c r="O12" i="6"/>
  <c r="C12" i="6"/>
  <c r="P12" i="6" s="1"/>
  <c r="E12" i="6"/>
  <c r="G10" i="4"/>
  <c r="H10" i="4" s="1"/>
  <c r="C11" i="6"/>
  <c r="P11" i="6" s="1"/>
  <c r="K21" i="7"/>
  <c r="F10" i="7"/>
  <c r="L20" i="42"/>
  <c r="E10" i="6"/>
  <c r="C8" i="4"/>
  <c r="B28" i="6" s="1"/>
  <c r="F28" i="6" s="1"/>
  <c r="Q19" i="50"/>
  <c r="Y20" i="50"/>
  <c r="M19" i="33"/>
  <c r="C21" i="50"/>
  <c r="D19" i="50"/>
  <c r="D44" i="41" s="1"/>
  <c r="W20" i="50"/>
  <c r="J9" i="6"/>
  <c r="K22" i="7"/>
  <c r="I20" i="50"/>
  <c r="Q20" i="50"/>
  <c r="U20" i="50"/>
  <c r="Y19" i="50"/>
  <c r="H21" i="50"/>
  <c r="L20" i="50"/>
  <c r="P21" i="50"/>
  <c r="Q21" i="50"/>
  <c r="T19" i="50"/>
  <c r="X21" i="50"/>
  <c r="H21" i="33"/>
  <c r="J19" i="33"/>
  <c r="O21" i="33"/>
  <c r="P19" i="33"/>
  <c r="R20" i="33"/>
  <c r="C19" i="33"/>
  <c r="D27" i="41" s="1"/>
  <c r="I18" i="4"/>
  <c r="D70" i="41" s="1"/>
  <c r="G7" i="4"/>
  <c r="H7" i="4" s="1"/>
  <c r="G8" i="6"/>
  <c r="D8" i="6"/>
  <c r="J10" i="4"/>
  <c r="J13" i="4"/>
  <c r="I21" i="4"/>
  <c r="J9" i="4"/>
  <c r="F8" i="4"/>
  <c r="F21" i="4" s="1"/>
  <c r="G13" i="4"/>
  <c r="H13" i="4" s="1"/>
  <c r="G11" i="4"/>
  <c r="H11" i="4" s="1"/>
  <c r="H22" i="49"/>
  <c r="G14" i="4"/>
  <c r="H14" i="4" s="1"/>
  <c r="G6" i="4"/>
  <c r="H6" i="4" s="1"/>
  <c r="G16" i="4"/>
  <c r="H16" i="4" s="1"/>
  <c r="D19" i="4"/>
  <c r="B37" i="6"/>
  <c r="F37" i="6" s="1"/>
  <c r="P18" i="7"/>
  <c r="G18" i="9" s="1"/>
  <c r="H18" i="9" s="1"/>
  <c r="B26" i="6"/>
  <c r="E26" i="6" s="1"/>
  <c r="B30" i="6"/>
  <c r="C30" i="6" s="1"/>
  <c r="H11" i="7"/>
  <c r="P11" i="7"/>
  <c r="B34" i="6"/>
  <c r="C34" i="6" s="1"/>
  <c r="H15" i="7"/>
  <c r="B29" i="6"/>
  <c r="E29" i="6" s="1"/>
  <c r="P10" i="7"/>
  <c r="B33" i="6"/>
  <c r="G33" i="6" s="1"/>
  <c r="P14" i="7"/>
  <c r="B27" i="6"/>
  <c r="C27" i="6" s="1"/>
  <c r="P8" i="7"/>
  <c r="H8" i="7"/>
  <c r="B35" i="6"/>
  <c r="G35" i="6" s="1"/>
  <c r="H16" i="7"/>
  <c r="P16" i="7"/>
  <c r="G10" i="6"/>
  <c r="O10" i="6"/>
  <c r="C8" i="6"/>
  <c r="P8" i="6" s="1"/>
  <c r="E8" i="6"/>
  <c r="H12" i="7"/>
  <c r="E31" i="6"/>
  <c r="F31" i="6"/>
  <c r="G31" i="6"/>
  <c r="C31" i="6"/>
  <c r="P15" i="7"/>
  <c r="D31" i="6"/>
  <c r="O21" i="50"/>
  <c r="R20" i="50"/>
  <c r="Y21" i="50"/>
  <c r="D20" i="4"/>
  <c r="J16" i="4"/>
  <c r="J8" i="6"/>
  <c r="T20" i="50"/>
  <c r="O19" i="50"/>
  <c r="J8" i="4"/>
  <c r="J21" i="7"/>
  <c r="B18" i="4"/>
  <c r="D17" i="41" s="1"/>
  <c r="I20" i="4"/>
  <c r="F7" i="7"/>
  <c r="G16" i="7"/>
  <c r="G17" i="7"/>
  <c r="O11" i="7"/>
  <c r="E19" i="50"/>
  <c r="D45" i="41" s="1"/>
  <c r="K15" i="6"/>
  <c r="H19" i="33"/>
  <c r="D32" i="41" s="1"/>
  <c r="K20" i="33"/>
  <c r="P21" i="33"/>
  <c r="Q21" i="33"/>
  <c r="R19" i="33"/>
  <c r="S20" i="33"/>
  <c r="V21" i="33"/>
  <c r="E21" i="4"/>
  <c r="E20" i="4"/>
  <c r="E19" i="4"/>
  <c r="J7" i="4"/>
  <c r="H14" i="7"/>
  <c r="W21" i="50"/>
  <c r="N21" i="42"/>
  <c r="J21" i="50"/>
  <c r="D61" i="41"/>
  <c r="R21" i="50"/>
  <c r="I19" i="4"/>
  <c r="O10" i="7"/>
  <c r="F10" i="9" s="1"/>
  <c r="G10" i="9" s="1"/>
  <c r="H10" i="9" s="1"/>
  <c r="G9" i="4"/>
  <c r="H9" i="4" s="1"/>
  <c r="F13" i="7"/>
  <c r="F11" i="7"/>
  <c r="F8" i="7"/>
  <c r="I21" i="42"/>
  <c r="J21" i="42"/>
  <c r="D32" i="6"/>
  <c r="E32" i="6"/>
  <c r="F32" i="6"/>
  <c r="G32" i="6"/>
  <c r="B20" i="4"/>
  <c r="B21" i="4"/>
  <c r="B19" i="4"/>
  <c r="K19" i="4"/>
  <c r="G10" i="7"/>
  <c r="F21" i="50"/>
  <c r="G21" i="50"/>
  <c r="I21" i="50"/>
  <c r="M19" i="50"/>
  <c r="N21" i="50"/>
  <c r="U21" i="50"/>
  <c r="N21" i="33"/>
  <c r="D21" i="4"/>
  <c r="C9" i="6"/>
  <c r="P9" i="6" s="1"/>
  <c r="E11" i="6"/>
  <c r="F15" i="6"/>
  <c r="G15" i="6"/>
  <c r="M20" i="33"/>
  <c r="M21" i="7"/>
  <c r="G20" i="50"/>
  <c r="G19" i="50"/>
  <c r="F16" i="7"/>
  <c r="L19" i="42"/>
  <c r="O16" i="6"/>
  <c r="N16" i="6"/>
  <c r="O18" i="6"/>
  <c r="N18" i="6"/>
  <c r="R22" i="9"/>
  <c r="O17" i="6"/>
  <c r="N17" i="6"/>
  <c r="O9" i="6"/>
  <c r="N9" i="6"/>
  <c r="O14" i="6"/>
  <c r="E21" i="50"/>
  <c r="C17" i="6"/>
  <c r="P17" i="6" s="1"/>
  <c r="K19" i="50"/>
  <c r="E9" i="6"/>
  <c r="C10" i="6"/>
  <c r="P10" i="6" s="1"/>
  <c r="M21" i="33"/>
  <c r="F19" i="50"/>
  <c r="D46" i="41" s="1"/>
  <c r="J20" i="50"/>
  <c r="N19" i="50"/>
  <c r="N20" i="50"/>
  <c r="R19" i="50"/>
  <c r="V21" i="50"/>
  <c r="V20" i="50"/>
  <c r="L15" i="6"/>
  <c r="J19" i="42"/>
  <c r="E19" i="33"/>
  <c r="D29" i="41" s="1"/>
  <c r="F17" i="6"/>
  <c r="J21" i="33"/>
  <c r="L20" i="33"/>
  <c r="O19" i="33"/>
  <c r="V19" i="33"/>
  <c r="E20" i="50"/>
  <c r="K11" i="6"/>
  <c r="H20" i="33"/>
  <c r="J20" i="33"/>
  <c r="K21" i="33"/>
  <c r="L21" i="33"/>
  <c r="O20" i="33"/>
  <c r="P20" i="33"/>
  <c r="R21" i="33"/>
  <c r="C32" i="6"/>
  <c r="P13" i="7"/>
  <c r="H13" i="7"/>
  <c r="H13" i="6"/>
  <c r="F11" i="6"/>
  <c r="G11" i="6"/>
  <c r="H17" i="6"/>
  <c r="C20" i="33"/>
  <c r="D62" i="41"/>
  <c r="M21" i="50"/>
  <c r="L21" i="7"/>
  <c r="F20" i="50"/>
  <c r="K21" i="50"/>
  <c r="O14" i="7"/>
  <c r="L11" i="6"/>
  <c r="M22" i="7"/>
  <c r="Q21" i="7"/>
  <c r="P12" i="7"/>
  <c r="K20" i="50"/>
  <c r="H10" i="7"/>
  <c r="E21" i="33"/>
  <c r="E20" i="33"/>
  <c r="L14" i="6"/>
  <c r="H9" i="6"/>
  <c r="G12" i="7"/>
  <c r="N8" i="7"/>
  <c r="D60" i="41"/>
  <c r="D21" i="50"/>
  <c r="I19" i="50"/>
  <c r="D48" i="41" s="1"/>
  <c r="L21" i="50"/>
  <c r="M20" i="50"/>
  <c r="P19" i="50"/>
  <c r="L10" i="6"/>
  <c r="L21" i="42"/>
  <c r="N20" i="42"/>
  <c r="D15" i="6"/>
  <c r="D11" i="6"/>
  <c r="E15" i="6"/>
  <c r="S20" i="50"/>
  <c r="L22" i="7"/>
  <c r="O20" i="50"/>
  <c r="W19" i="50"/>
  <c r="G9" i="6"/>
  <c r="F16" i="6"/>
  <c r="H18" i="7"/>
  <c r="V20" i="33"/>
  <c r="D20" i="50"/>
  <c r="F20" i="33"/>
  <c r="D14" i="6"/>
  <c r="G8" i="7"/>
  <c r="C20" i="50"/>
  <c r="L19" i="50"/>
  <c r="P20" i="50"/>
  <c r="D22" i="7"/>
  <c r="G7" i="7"/>
  <c r="I21" i="7"/>
  <c r="I22" i="7"/>
  <c r="I19" i="42"/>
  <c r="I20" i="42"/>
  <c r="K21" i="42"/>
  <c r="K20" i="42"/>
  <c r="K19" i="42"/>
  <c r="F19" i="33"/>
  <c r="D30" i="41" s="1"/>
  <c r="G19" i="33"/>
  <c r="D31" i="41" s="1"/>
  <c r="G21" i="33"/>
  <c r="G20" i="33"/>
  <c r="I21" i="33"/>
  <c r="N20" i="33"/>
  <c r="N19" i="33"/>
  <c r="Q20" i="33"/>
  <c r="Q19" i="33"/>
  <c r="S21" i="33"/>
  <c r="S19" i="33"/>
  <c r="T21" i="33"/>
  <c r="T20" i="33"/>
  <c r="U20" i="33"/>
  <c r="U19" i="33"/>
  <c r="W21" i="33"/>
  <c r="W19" i="33"/>
  <c r="W20" i="33"/>
  <c r="K18" i="4"/>
  <c r="K21" i="4"/>
  <c r="J20" i="42"/>
  <c r="D19" i="33"/>
  <c r="D28" i="41" s="1"/>
  <c r="F21" i="33"/>
  <c r="H7" i="7"/>
  <c r="C21" i="33"/>
  <c r="D21" i="33"/>
  <c r="K19" i="33"/>
  <c r="I20" i="33"/>
  <c r="U21" i="33"/>
  <c r="T19" i="33"/>
  <c r="D20" i="33"/>
  <c r="D20" i="7"/>
  <c r="D52" i="41" s="1"/>
  <c r="C19" i="50"/>
  <c r="D47" i="41" s="1"/>
  <c r="I19" i="33"/>
  <c r="D33" i="41" s="1"/>
  <c r="L19" i="33"/>
  <c r="Q22" i="7"/>
  <c r="R22" i="7"/>
  <c r="K20" i="4"/>
  <c r="C22" i="9"/>
  <c r="J21" i="9"/>
  <c r="K20" i="9"/>
  <c r="M21" i="9"/>
  <c r="N20" i="9"/>
  <c r="O22" i="9"/>
  <c r="H19" i="50"/>
  <c r="H20" i="50"/>
  <c r="X20" i="50"/>
  <c r="X19" i="50"/>
  <c r="N22" i="9"/>
  <c r="Q21" i="9"/>
  <c r="K21" i="9"/>
  <c r="N21" i="9"/>
  <c r="D22" i="9"/>
  <c r="C21" i="9"/>
  <c r="D21" i="9"/>
  <c r="J22" i="9"/>
  <c r="L22" i="9"/>
  <c r="Q22" i="9"/>
  <c r="O20" i="9"/>
  <c r="M20" i="9"/>
  <c r="M22" i="9"/>
  <c r="J20" i="9"/>
  <c r="K22" i="9"/>
  <c r="C20" i="9"/>
  <c r="L20" i="9"/>
  <c r="Q20" i="9"/>
  <c r="O21" i="9"/>
  <c r="P20" i="9"/>
  <c r="D20" i="9"/>
  <c r="P19" i="9"/>
  <c r="Q19" i="9"/>
  <c r="L21" i="9"/>
  <c r="M21" i="6"/>
  <c r="M19" i="6"/>
  <c r="D66" i="41" s="1"/>
  <c r="M20" i="6"/>
  <c r="D67" i="41" s="1"/>
  <c r="O8" i="6"/>
  <c r="R19" i="9"/>
  <c r="R20" i="9"/>
  <c r="R21" i="9"/>
  <c r="N22" i="33" l="1"/>
  <c r="F13" i="9"/>
  <c r="G17" i="9"/>
  <c r="H17" i="9" s="1"/>
  <c r="G13" i="9"/>
  <c r="H13" i="9" s="1"/>
  <c r="F12" i="9"/>
  <c r="G12" i="9" s="1"/>
  <c r="H12" i="9" s="1"/>
  <c r="G15" i="9"/>
  <c r="H15" i="9" s="1"/>
  <c r="G8" i="9"/>
  <c r="H8" i="9" s="1"/>
  <c r="G16" i="9"/>
  <c r="H16" i="9" s="1"/>
  <c r="G14" i="9"/>
  <c r="H14" i="9" s="1"/>
  <c r="F11" i="9"/>
  <c r="G11" i="9" s="1"/>
  <c r="H11" i="9" s="1"/>
  <c r="D34" i="6"/>
  <c r="E34" i="6"/>
  <c r="D33" i="6"/>
  <c r="C33" i="6"/>
  <c r="N22" i="6"/>
  <c r="C35" i="6"/>
  <c r="F35" i="6"/>
  <c r="F34" i="6"/>
  <c r="G34" i="6"/>
  <c r="D35" i="6"/>
  <c r="F33" i="6"/>
  <c r="C29" i="6"/>
  <c r="C20" i="4"/>
  <c r="E27" i="6"/>
  <c r="F26" i="6"/>
  <c r="D26" i="6"/>
  <c r="G26" i="6"/>
  <c r="C26" i="6"/>
  <c r="G30" i="6"/>
  <c r="G29" i="6"/>
  <c r="D30" i="6"/>
  <c r="F30" i="6"/>
  <c r="E33" i="6"/>
  <c r="E30" i="6"/>
  <c r="C37" i="6"/>
  <c r="E37" i="6"/>
  <c r="G37" i="6"/>
  <c r="D37" i="6"/>
  <c r="E35" i="6"/>
  <c r="O21" i="7"/>
  <c r="I22" i="6"/>
  <c r="O22" i="7"/>
  <c r="D29" i="6"/>
  <c r="F29" i="6"/>
  <c r="G8" i="4"/>
  <c r="G21" i="4" s="1"/>
  <c r="H22" i="6"/>
  <c r="G27" i="6"/>
  <c r="B41" i="6"/>
  <c r="D27" i="6"/>
  <c r="I21" i="6"/>
  <c r="P9" i="7"/>
  <c r="C19" i="4"/>
  <c r="D18" i="41" s="1"/>
  <c r="E36" i="6"/>
  <c r="I20" i="6"/>
  <c r="P22" i="9"/>
  <c r="P21" i="9"/>
  <c r="C21" i="4"/>
  <c r="D28" i="6"/>
  <c r="F27" i="6"/>
  <c r="G28" i="6"/>
  <c r="H9" i="7"/>
  <c r="H21" i="7" s="1"/>
  <c r="B39" i="6"/>
  <c r="D36" i="6"/>
  <c r="J20" i="6"/>
  <c r="C36" i="6"/>
  <c r="H21" i="6"/>
  <c r="C28" i="6"/>
  <c r="K20" i="6"/>
  <c r="B40" i="6"/>
  <c r="G36" i="6"/>
  <c r="E28" i="6"/>
  <c r="F20" i="4"/>
  <c r="H20" i="6"/>
  <c r="N21" i="6"/>
  <c r="N20" i="6"/>
  <c r="K22" i="6"/>
  <c r="L21" i="6"/>
  <c r="F22" i="6"/>
  <c r="J21" i="6"/>
  <c r="F19" i="4"/>
  <c r="D22" i="41" s="1"/>
  <c r="D22" i="6"/>
  <c r="G20" i="6"/>
  <c r="B19" i="6"/>
  <c r="D19" i="6" s="1"/>
  <c r="B22" i="6"/>
  <c r="B21" i="6"/>
  <c r="B20" i="6"/>
  <c r="F22" i="7"/>
  <c r="F20" i="7"/>
  <c r="D54" i="41" s="1"/>
  <c r="F21" i="7"/>
  <c r="M22" i="6"/>
  <c r="K21" i="6"/>
  <c r="J22" i="6"/>
  <c r="D21" i="6"/>
  <c r="L22" i="6"/>
  <c r="L20" i="6"/>
  <c r="J20" i="4"/>
  <c r="J19" i="4"/>
  <c r="J21" i="4"/>
  <c r="J18" i="4"/>
  <c r="D63" i="41"/>
  <c r="N22" i="7"/>
  <c r="N21" i="7"/>
  <c r="I22" i="9"/>
  <c r="I21" i="9"/>
  <c r="I20" i="9"/>
  <c r="D20" i="6"/>
  <c r="G21" i="7"/>
  <c r="G22" i="7"/>
  <c r="G20" i="7"/>
  <c r="E22" i="9"/>
  <c r="E20" i="9"/>
  <c r="E21" i="9"/>
  <c r="G9" i="9" l="1"/>
  <c r="G18" i="4"/>
  <c r="G19" i="4"/>
  <c r="H8" i="4"/>
  <c r="H19" i="4" s="1"/>
  <c r="F39" i="6"/>
  <c r="F20" i="9"/>
  <c r="F40" i="6"/>
  <c r="F41" i="6"/>
  <c r="D40" i="6"/>
  <c r="D39" i="6"/>
  <c r="F21" i="9"/>
  <c r="F22" i="9"/>
  <c r="G39" i="6"/>
  <c r="E41" i="6"/>
  <c r="E39" i="6"/>
  <c r="H22" i="7"/>
  <c r="H20" i="7"/>
  <c r="G20" i="4"/>
  <c r="G41" i="6"/>
  <c r="D41" i="6"/>
  <c r="G40" i="6"/>
  <c r="P22" i="7"/>
  <c r="C41" i="6"/>
  <c r="P21" i="7"/>
  <c r="F21" i="6"/>
  <c r="F20" i="6"/>
  <c r="C40" i="6"/>
  <c r="E40" i="6"/>
  <c r="C39" i="6"/>
  <c r="G19" i="6"/>
  <c r="G22" i="6"/>
  <c r="F19" i="6"/>
  <c r="E22" i="6"/>
  <c r="E21" i="6"/>
  <c r="E20" i="6"/>
  <c r="C22" i="6"/>
  <c r="C21" i="6"/>
  <c r="C20" i="6"/>
  <c r="E19" i="6"/>
  <c r="C19" i="6"/>
  <c r="O19" i="6"/>
  <c r="G21" i="6"/>
  <c r="H9" i="9" l="1"/>
  <c r="G20" i="9"/>
  <c r="G21" i="9"/>
  <c r="G22" i="9"/>
  <c r="H20" i="4"/>
  <c r="H18" i="4"/>
  <c r="D23" i="41" s="1"/>
  <c r="D24" i="41" s="1"/>
  <c r="H21" i="4"/>
  <c r="P22" i="6"/>
  <c r="P21" i="6"/>
  <c r="P20" i="6"/>
  <c r="D69" i="41" s="1"/>
  <c r="D68" i="41"/>
  <c r="O21" i="6"/>
  <c r="O20" i="6"/>
  <c r="O22" i="6"/>
  <c r="H21" i="9" l="1"/>
  <c r="H22" i="9"/>
  <c r="H19" i="9"/>
  <c r="H2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pavelb</author>
  </authors>
  <commentList>
    <comment ref="P21" authorId="0" shapeId="0" xr:uid="{00000000-0006-0000-0600-000001000000}">
      <text>
        <r>
          <rPr>
            <b/>
            <sz val="9"/>
            <color indexed="81"/>
            <rFont val="Tahoma"/>
            <family val="2"/>
          </rPr>
          <t>pavelb:</t>
        </r>
        <r>
          <rPr>
            <sz val="9"/>
            <color indexed="81"/>
            <rFont val="Tahoma"/>
            <family val="2"/>
          </rPr>
          <t xml:space="preserve">
כמות חומר יבש</t>
        </r>
      </text>
    </comment>
    <comment ref="P22" authorId="0" shapeId="0" xr:uid="{00000000-0006-0000-0600-000002000000}">
      <text>
        <r>
          <rPr>
            <b/>
            <sz val="9"/>
            <color indexed="81"/>
            <rFont val="Tahoma"/>
            <family val="2"/>
          </rPr>
          <t>pavelb:</t>
        </r>
        <r>
          <rPr>
            <sz val="9"/>
            <color indexed="81"/>
            <rFont val="Tahoma"/>
            <family val="2"/>
          </rPr>
          <t xml:space="preserve">
כמות חומר נדיב
</t>
        </r>
      </text>
    </comment>
  </commentList>
</comments>
</file>

<file path=xl/sharedStrings.xml><?xml version="1.0" encoding="utf-8"?>
<sst xmlns="http://schemas.openxmlformats.org/spreadsheetml/2006/main" count="528" uniqueCount="241">
  <si>
    <t>גרוסת</t>
  </si>
  <si>
    <t>תאריך</t>
  </si>
  <si>
    <t>מ"ק/יום</t>
  </si>
  <si>
    <t xml:space="preserve">ממוצע </t>
  </si>
  <si>
    <t>צח"כ</t>
  </si>
  <si>
    <t>צח"ב</t>
  </si>
  <si>
    <t>מ"מ כללי</t>
  </si>
  <si>
    <t>כלורידים</t>
  </si>
  <si>
    <t>SVI</t>
  </si>
  <si>
    <t>מג"ל</t>
  </si>
  <si>
    <t>%</t>
  </si>
  <si>
    <t>צריכת  אנרגיה</t>
  </si>
  <si>
    <t>F / M</t>
  </si>
  <si>
    <t>מוליכות</t>
  </si>
  <si>
    <t>PT</t>
  </si>
  <si>
    <t>ספיקה יומית</t>
  </si>
  <si>
    <t>יום בשבוע</t>
  </si>
  <si>
    <t xml:space="preserve">מקסימום </t>
  </si>
  <si>
    <t xml:space="preserve">מינימום </t>
  </si>
  <si>
    <t>גבבה</t>
  </si>
  <si>
    <t>טון/יום</t>
  </si>
  <si>
    <t>פינוי גבבה</t>
  </si>
  <si>
    <t>פינוי גרוסת</t>
  </si>
  <si>
    <t>TS%</t>
  </si>
  <si>
    <t xml:space="preserve"> בוצה יבשה</t>
  </si>
  <si>
    <t>שפכים</t>
  </si>
  <si>
    <t>מעבדה</t>
  </si>
  <si>
    <t>NO2</t>
  </si>
  <si>
    <t>NO3</t>
  </si>
  <si>
    <t>PH</t>
  </si>
  <si>
    <t>VS%</t>
  </si>
  <si>
    <t>קולי</t>
  </si>
  <si>
    <t>NH4</t>
  </si>
  <si>
    <t>NT</t>
  </si>
  <si>
    <t>ICP</t>
  </si>
  <si>
    <t>ב-100 גר'</t>
  </si>
  <si>
    <t>שיקוע</t>
  </si>
  <si>
    <t>30 דק'</t>
  </si>
  <si>
    <t>הרחקת צח"ב כללי</t>
  </si>
  <si>
    <t>יחס נדיף</t>
  </si>
  <si>
    <t>מ"מ נדיף</t>
  </si>
  <si>
    <t>מ"ל/גר'</t>
  </si>
  <si>
    <t>יחידת פעולה</t>
  </si>
  <si>
    <t>אחוזי הרחקה שפכים- קולחין שניוני</t>
  </si>
  <si>
    <t>ח י ש ו ב    ע ו מ ס י ם</t>
  </si>
  <si>
    <t>לק"ג צחב מורחק</t>
  </si>
  <si>
    <t>קוו"ש/ק"ג צח"ב</t>
  </si>
  <si>
    <r>
      <t>נתונים עיקריים</t>
    </r>
    <r>
      <rPr>
        <sz val="12"/>
        <rFont val="Arial"/>
        <family val="2"/>
      </rPr>
      <t>:</t>
    </r>
  </si>
  <si>
    <t>נתוני אנרגיה:</t>
  </si>
  <si>
    <t>בכבוד רב,</t>
  </si>
  <si>
    <t>הרחקת צח"כ כללי</t>
  </si>
  <si>
    <t>מ"ג/ליטר</t>
  </si>
  <si>
    <t>מזג אויר</t>
  </si>
  <si>
    <t>ממוצע מ"ק שפכים יומי מ"ק/יום</t>
  </si>
  <si>
    <t>צח"כ מג"ל</t>
  </si>
  <si>
    <t>צח"ב מג"ל</t>
  </si>
  <si>
    <t>אמוניה מג"ל</t>
  </si>
  <si>
    <t>כלורידים מג"ל</t>
  </si>
  <si>
    <t>צריכת חשמל לק"ג צח"ב קוט"ש/ק"ג</t>
  </si>
  <si>
    <t>מ"ג/גר'</t>
  </si>
  <si>
    <t>פעם בשבוע</t>
  </si>
  <si>
    <t>פעם בחודש</t>
  </si>
  <si>
    <t>דיגום כל חודש אי זוגי: ינואר, מרץ, מאי, יולי, ספטמבר, נובמבר</t>
  </si>
  <si>
    <t>פעם בשלושה חודשים: ינואר, אפריל, יולי, אוקטובר</t>
  </si>
  <si>
    <t>BOD</t>
  </si>
  <si>
    <t>COD</t>
  </si>
  <si>
    <t>TSS</t>
  </si>
  <si>
    <t>OG</t>
  </si>
  <si>
    <t>CL</t>
  </si>
  <si>
    <t>TKN</t>
  </si>
  <si>
    <t>VSS</t>
  </si>
  <si>
    <t>שמן מנרלי</t>
  </si>
  <si>
    <t>BOD מומס</t>
  </si>
  <si>
    <t>COD מומס</t>
  </si>
  <si>
    <t>DT</t>
  </si>
  <si>
    <t>סולפיד בתסנין</t>
  </si>
  <si>
    <t>פנול</t>
  </si>
  <si>
    <t>ציאניד</t>
  </si>
  <si>
    <t>TDS</t>
  </si>
  <si>
    <t>סולפאט</t>
  </si>
  <si>
    <t>קשיות כ-CaCO3</t>
  </si>
  <si>
    <t>אלקליניות כ- CaCO3</t>
  </si>
  <si>
    <t>שטח-רציף</t>
  </si>
  <si>
    <t>פעמיים בשבוע</t>
  </si>
  <si>
    <t xml:space="preserve">פעם בשלושה חודשים: ינואר, אפריל, יולי, אוקטובר </t>
  </si>
  <si>
    <t>שמן מינרלי</t>
  </si>
  <si>
    <t>cm/s</t>
  </si>
  <si>
    <t>פעמיים בחודש</t>
  </si>
  <si>
    <t>קולי צואתי תא מגע</t>
  </si>
  <si>
    <t>Na</t>
  </si>
  <si>
    <t>בורון</t>
  </si>
  <si>
    <t>פלואוריד</t>
  </si>
  <si>
    <t>SAR</t>
  </si>
  <si>
    <t>ב-100 מ"ל</t>
  </si>
  <si>
    <t>SOUR</t>
  </si>
  <si>
    <t xml:space="preserve">מעכל </t>
  </si>
  <si>
    <t>מד עכירות  נייד</t>
  </si>
  <si>
    <t>מד עכירות  קבוע</t>
  </si>
  <si>
    <t>מד כלור כללי  נייד</t>
  </si>
  <si>
    <t>מד כלור כללי  קבוע</t>
  </si>
  <si>
    <t>ספיקות</t>
  </si>
  <si>
    <t>Cl</t>
  </si>
  <si>
    <t xml:space="preserve">אלקליניות </t>
  </si>
  <si>
    <t xml:space="preserve">קשיות </t>
  </si>
  <si>
    <t>מעבדה-שפכים</t>
  </si>
  <si>
    <t>פעם בשלושה חודשים: ינו, אפ, יול, אוק</t>
  </si>
  <si>
    <t xml:space="preserve">קולי </t>
  </si>
  <si>
    <t>מעבדה-קולחין שלישוני</t>
  </si>
  <si>
    <t>מעבדה+שטח -קולחין שלישוני</t>
  </si>
  <si>
    <t xml:space="preserve">מד חמצן מומס </t>
  </si>
  <si>
    <t>נייד</t>
  </si>
  <si>
    <t>קבוע</t>
  </si>
  <si>
    <t>מעבדה-מעכל</t>
  </si>
  <si>
    <t>פינויים לאתר</t>
  </si>
  <si>
    <t xml:space="preserve"> טון בוצה יבשה </t>
  </si>
  <si>
    <t xml:space="preserve"> טון גבבה</t>
  </si>
  <si>
    <t xml:space="preserve"> טון גרוסת</t>
  </si>
  <si>
    <t>שטח-רציף ראקטור 2</t>
  </si>
  <si>
    <t>שטח-רציף ראקטור 1</t>
  </si>
  <si>
    <t>מוצקים מרחפים מג"ל</t>
  </si>
  <si>
    <t>מוצקים מרחפים (MLSS) מג"ל</t>
  </si>
  <si>
    <t xml:space="preserve">נתוני תפעול - גליון  1 - ספיקות </t>
  </si>
  <si>
    <t>מוצקים מרחפים</t>
  </si>
  <si>
    <t>מוצקים נדיפים</t>
  </si>
  <si>
    <t>יחידת טיפול 1</t>
  </si>
  <si>
    <t>יחידת טיפול 2</t>
  </si>
  <si>
    <t>חנקן אמוניאקלי</t>
  </si>
  <si>
    <t>שומנים</t>
  </si>
  <si>
    <t>זרחן כללי</t>
  </si>
  <si>
    <t>חנקן קלדהל</t>
  </si>
  <si>
    <t>צח"ב מומס</t>
  </si>
  <si>
    <t>צח"כ מומס</t>
  </si>
  <si>
    <t>דטרגנט אניוני</t>
  </si>
  <si>
    <t>סולפיד מומס</t>
  </si>
  <si>
    <t>פנול מרכיבים</t>
  </si>
  <si>
    <t>כלל מוצקים נמסים</t>
  </si>
  <si>
    <t>סריקת מתכות</t>
  </si>
  <si>
    <t>חנקן כללי</t>
  </si>
  <si>
    <t>חנקן חנקיתי</t>
  </si>
  <si>
    <t>חנקן חנקתי</t>
  </si>
  <si>
    <t>נתרן</t>
  </si>
  <si>
    <t>קוליפורמים פאקליים</t>
  </si>
  <si>
    <t>הרחקת מוצקים מרחפים</t>
  </si>
  <si>
    <t>הרחקת חנקן אמוניאקלי</t>
  </si>
  <si>
    <t>הרחקת זרחן כללי</t>
  </si>
  <si>
    <t>שומנים מג"ל</t>
  </si>
  <si>
    <t>איכות שפכים:</t>
  </si>
  <si>
    <t>איכות קולחין שניוני:</t>
  </si>
  <si>
    <t>איכות קולחין שלישוני:</t>
  </si>
  <si>
    <t>חנקן כללי מג"ל</t>
  </si>
  <si>
    <t>מוצקים נדיפים (MLVSS) מג"ל</t>
  </si>
  <si>
    <t>יחידת טיפול  1:</t>
  </si>
  <si>
    <t>שיקוע 30 דק'</t>
  </si>
  <si>
    <t>SVI מ"ל / גר'</t>
  </si>
  <si>
    <t>יחידת טיפול  2:</t>
  </si>
  <si>
    <t xml:space="preserve">הנדון: </t>
  </si>
  <si>
    <t>דוח הפעלה</t>
  </si>
  <si>
    <t>1-חם מאוד</t>
  </si>
  <si>
    <t>4-גשום</t>
  </si>
  <si>
    <t>5-גשום מאוד</t>
  </si>
  <si>
    <t>נתוני תפעול  - גליון  2  - איכות שפכים</t>
  </si>
  <si>
    <t>נתוני תפעול   - גליון  3 - איכות קולחין שניוני</t>
  </si>
  <si>
    <t>נתוני תפעול   - גליון 4  - איכות קולחין שלישוני</t>
  </si>
  <si>
    <t>נתוני תפעול   - גליון 5  - יחידות טיפול</t>
  </si>
  <si>
    <t>נתוני תפעול  - גליון 6  - טיפול וסילוק בוצה</t>
  </si>
  <si>
    <t>נתוני תפעול   -  גליון  7 -  עומסי שפכים וצריכת אנרגיה</t>
  </si>
  <si>
    <t>תדירות</t>
  </si>
  <si>
    <t>נתוני תפעול</t>
  </si>
  <si>
    <t>מעבדה-קולחין שניוני</t>
  </si>
  <si>
    <t>מעבדה-יחידת טיפול 1</t>
  </si>
  <si>
    <t>מעבדה-יחידת טיפול 2</t>
  </si>
  <si>
    <t>סינון</t>
  </si>
  <si>
    <t>נפח SBR</t>
  </si>
  <si>
    <t>קולחין שלישוני-השקיה</t>
  </si>
  <si>
    <t>הפרש</t>
  </si>
  <si>
    <t>מועצה מקומית להבים.</t>
  </si>
  <si>
    <t>לכבוד:</t>
  </si>
  <si>
    <t>ממוצע מ"ק קולחין לסינון יומי מ"ק/יום</t>
  </si>
  <si>
    <t>צריכת חשמל סגולית ממוצעת  קוט"ש/מ"ק</t>
  </si>
  <si>
    <t>2-נאה</t>
  </si>
  <si>
    <t xml:space="preserve"> שלישוני-השקיה</t>
  </si>
  <si>
    <t>אלקטרה גרינטק בע"מ</t>
  </si>
  <si>
    <t>מים שפירים</t>
  </si>
  <si>
    <t>קולחין שניוני מילודע</t>
  </si>
  <si>
    <t>ספיקה חודשית</t>
  </si>
  <si>
    <t>צריכה חודשית</t>
  </si>
  <si>
    <t>קוו"טש /חודש</t>
  </si>
  <si>
    <t>הפרש חודשי</t>
  </si>
  <si>
    <t>מ"ק/חודש</t>
  </si>
  <si>
    <t>נטו</t>
  </si>
  <si>
    <t>בוצה עודפת</t>
  </si>
  <si>
    <t xml:space="preserve">ספיקה חודשית </t>
  </si>
  <si>
    <t>ספיקה ממוצע יומי</t>
  </si>
  <si>
    <t>חודש</t>
  </si>
  <si>
    <t>עכירות נייד</t>
  </si>
  <si>
    <t>עכירות קבוע</t>
  </si>
  <si>
    <t>כלור נייד</t>
  </si>
  <si>
    <t>כלור קבוע</t>
  </si>
  <si>
    <t xml:space="preserve">שטח-חטף </t>
  </si>
  <si>
    <t>ספיקה חודשית בוצה עודפת</t>
  </si>
  <si>
    <t xml:space="preserve"> בוצה סחוטה</t>
  </si>
  <si>
    <t>פינוי בוצה לאתר קומפוסט</t>
  </si>
  <si>
    <t>טון/חודש</t>
  </si>
  <si>
    <t>סה"כ לשנה</t>
  </si>
  <si>
    <t>ק"ג/חודש</t>
  </si>
  <si>
    <t>ספיקה נטו חודשית</t>
  </si>
  <si>
    <t>צריכה סגולית, קווט''ש/קוב</t>
  </si>
  <si>
    <t>סה"כ מ"ק שפכים מ"ק/שנה</t>
  </si>
  <si>
    <t>סה"כ מ"ק קולחין שניוני לסינון מ"ק/שנה</t>
  </si>
  <si>
    <t>סה"כ קולחים נטו מ"ק/שנה</t>
  </si>
  <si>
    <t>סה"כ מ"ק קולחין שלישוני להשקיה מ"ק/שנה</t>
  </si>
  <si>
    <t>ממוצע קולחין שלישוני להשקיה מ"ק/יום</t>
  </si>
  <si>
    <t>ממוצע מ"ק קולחים נטו מ"ק/יום</t>
  </si>
  <si>
    <t>צריכת חשמל לשנה, קוט''ש</t>
  </si>
  <si>
    <t>צריכת חשמל ממוצע לחודש קוט"ש</t>
  </si>
  <si>
    <t>קוו"טש /יום</t>
  </si>
  <si>
    <t>יחס TS/VS</t>
  </si>
  <si>
    <t>פירוק חומר אורגני</t>
  </si>
  <si>
    <t>VS/TS</t>
  </si>
  <si>
    <t>מק''ח</t>
  </si>
  <si>
    <t>ינואר</t>
  </si>
  <si>
    <t>פברואר</t>
  </si>
  <si>
    <t>מרץ</t>
  </si>
  <si>
    <t>אפריל</t>
  </si>
  <si>
    <t>מאי</t>
  </si>
  <si>
    <t>יוני</t>
  </si>
  <si>
    <t>יולי</t>
  </si>
  <si>
    <t>אוגוסט</t>
  </si>
  <si>
    <t>ספטמבר</t>
  </si>
  <si>
    <t>אוקטובר</t>
  </si>
  <si>
    <t>נובמבר</t>
  </si>
  <si>
    <t>דצמבר</t>
  </si>
  <si>
    <t xml:space="preserve"> </t>
  </si>
  <si>
    <t xml:space="preserve">צריכת מים שפירים שנתית, מ''ק </t>
  </si>
  <si>
    <t>ספיקת בוצה חודשית</t>
  </si>
  <si>
    <t>ספיקה חודשית סינון</t>
  </si>
  <si>
    <t>מר קוסטה - מהנדס התשתיות מ"מ להבים.</t>
  </si>
  <si>
    <t>צוות המט"ש דווח ופעל במידית בכל זיהום אשר נכנס למתקן , מט"ש להבים עבר בהצלחה את כל הבדיקות הנדרשות על פי חוק כולל מבדק איזו 14001,</t>
  </si>
  <si>
    <t>מט"ש להבים דוח שנתי 2025</t>
  </si>
  <si>
    <t>2,8</t>
  </si>
  <si>
    <t xml:space="preserve">במהלך 2025 מט"ש להבים קיבל כמות שפכים של 458,146 מ"ק, וכמות קולחין של 316,132 מ"ק.
במהלך שנת 2025 מט"ש להבים שם דגש על אחזקה, טיפול ושיפוץ כלל הציוד לאורך התהליך - החלפת מפוח מתקן סינון , החלפת משאבת מינון כלור מתקן סינון , קירור חדר מפוחים הוספת מאוור והפעלת וינטה בתקרה באופן אוטומטי החלפת כלל צנרת האויר לברזים פנומאטים והחלפת כלל הסלילים והסולונואידם במתקן הסינון. בוצע  שידרוג בקרה במתקן סינון עמיעד ומינון אלום וקוגולנט לפי עכירות בכניסה. כמו כן  הותקנה משאבה בורגית במאגר ושאיבת בוצה מהתחתית של המאגר למעכל והפעלת מתקן בוצה באופן רציף למשך מס' חודשים, הותקן ציוד לשאיבת קולחים מבריכת הקולחים שלישוניים ישירות להפעלת מתקן הבוצה ללא תלות בהשקייה בישוב בימי גשם כאשר אין השקיה. נראות המתקן נשמרה ברמה גבוה ומתוחזקת על ידי גנן מקצועי.  צוות המט"ש דווח ופעל במידית בכל זיהום אשר נכנס למתקן. מט"ש להבים עבר בהצלחה את כלל הבדיקות הנדרשות פי חוק כולל מבדק איזו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</si>
</sst>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dd"/>
    <numFmt numFmtId="167" formatCode="dd\-mm\-yy"/>
    <numFmt numFmtId="168" formatCode="0.000"/>
    <numFmt numFmtId="169" formatCode="#,##0.0"/>
    <numFmt numFmtId="170" formatCode="mm"/>
    <numFmt numFmtId="171" formatCode="ddd"/>
    <numFmt numFmtId="172" formatCode="_ * #,##0_ ;_ * \-#,##0_ ;_ * &quot;-&quot;??_ ;_ @_ "/>
    <numFmt numFmtId="173" formatCode="#,##0_ ;\-#,##0\ "/>
    <numFmt numFmtId="174" formatCode="0.0%"/>
  </numFmts>
  <fonts count="42" x14ac:knownFonts="1">
    <font>
      <sz val="10"/>
      <name val="Arial"/>
      <charset val="177"/>
    </font>
    <font>
      <b/>
      <sz val="10"/>
      <name val="Arial"/>
      <family val="2"/>
    </font>
    <font>
      <sz val="10"/>
      <name val="Arial"/>
      <family val="2"/>
    </font>
    <font>
      <u/>
      <sz val="14"/>
      <name val="Arial"/>
      <family val="2"/>
      <charset val="177"/>
    </font>
    <font>
      <b/>
      <sz val="12"/>
      <name val="Arial"/>
      <family val="2"/>
    </font>
    <font>
      <sz val="14"/>
      <name val="Arial"/>
      <family val="2"/>
      <charset val="177"/>
    </font>
    <font>
      <sz val="8"/>
      <name val="Arial"/>
      <family val="2"/>
    </font>
    <font>
      <b/>
      <sz val="10"/>
      <color indexed="12"/>
      <name val="Arial"/>
      <family val="2"/>
    </font>
    <font>
      <b/>
      <sz val="12"/>
      <color indexed="12"/>
      <name val="Arial"/>
      <family val="2"/>
    </font>
    <font>
      <b/>
      <sz val="10"/>
      <name val="Arial"/>
      <family val="2"/>
    </font>
    <font>
      <b/>
      <sz val="12"/>
      <name val="Arial"/>
      <family val="2"/>
    </font>
    <font>
      <b/>
      <u/>
      <sz val="12"/>
      <name val="Arial"/>
      <family val="2"/>
    </font>
    <font>
      <b/>
      <u/>
      <sz val="12"/>
      <name val="Arial"/>
      <family val="2"/>
      <charset val="204"/>
    </font>
    <font>
      <sz val="12"/>
      <name val="Arial"/>
      <family val="2"/>
    </font>
    <font>
      <sz val="12"/>
      <name val="Arial"/>
      <family val="2"/>
    </font>
    <font>
      <b/>
      <sz val="12"/>
      <name val="Arial"/>
      <family val="2"/>
      <charset val="204"/>
    </font>
    <font>
      <b/>
      <sz val="8"/>
      <name val="Arial"/>
      <family val="2"/>
    </font>
    <font>
      <b/>
      <sz val="10"/>
      <color indexed="12"/>
      <name val="Arial"/>
      <family val="2"/>
    </font>
    <font>
      <b/>
      <sz val="10"/>
      <color indexed="56"/>
      <name val="Arial"/>
      <family val="2"/>
    </font>
    <font>
      <sz val="11"/>
      <color theme="1"/>
      <name val="Arial"/>
      <family val="2"/>
      <charset val="177"/>
      <scheme val="minor"/>
    </font>
    <font>
      <sz val="11"/>
      <color theme="0"/>
      <name val="Arial"/>
      <family val="2"/>
      <charset val="177"/>
      <scheme val="minor"/>
    </font>
    <font>
      <sz val="11"/>
      <color rgb="FF9C0006"/>
      <name val="Arial"/>
      <family val="2"/>
      <charset val="177"/>
      <scheme val="minor"/>
    </font>
    <font>
      <b/>
      <sz val="11"/>
      <color rgb="FFFA7D00"/>
      <name val="Arial"/>
      <family val="2"/>
      <charset val="177"/>
      <scheme val="minor"/>
    </font>
    <font>
      <b/>
      <sz val="11"/>
      <color theme="0"/>
      <name val="Arial"/>
      <family val="2"/>
      <charset val="177"/>
      <scheme val="minor"/>
    </font>
    <font>
      <i/>
      <sz val="11"/>
      <color rgb="FF7F7F7F"/>
      <name val="Arial"/>
      <family val="2"/>
      <charset val="177"/>
      <scheme val="minor"/>
    </font>
    <font>
      <sz val="11"/>
      <color rgb="FF006100"/>
      <name val="Arial"/>
      <family val="2"/>
      <charset val="177"/>
      <scheme val="minor"/>
    </font>
    <font>
      <b/>
      <sz val="15"/>
      <color theme="3"/>
      <name val="Arial"/>
      <family val="2"/>
      <charset val="177"/>
      <scheme val="minor"/>
    </font>
    <font>
      <b/>
      <sz val="13"/>
      <color theme="3"/>
      <name val="Arial"/>
      <family val="2"/>
      <charset val="177"/>
      <scheme val="minor"/>
    </font>
    <font>
      <b/>
      <sz val="11"/>
      <color theme="3"/>
      <name val="Arial"/>
      <family val="2"/>
      <charset val="177"/>
      <scheme val="minor"/>
    </font>
    <font>
      <sz val="11"/>
      <color rgb="FF3F3F76"/>
      <name val="Arial"/>
      <family val="2"/>
      <charset val="177"/>
      <scheme val="minor"/>
    </font>
    <font>
      <sz val="11"/>
      <color rgb="FFFA7D00"/>
      <name val="Arial"/>
      <family val="2"/>
      <charset val="177"/>
      <scheme val="minor"/>
    </font>
    <font>
      <sz val="11"/>
      <color rgb="FF9C6500"/>
      <name val="Arial"/>
      <family val="2"/>
      <charset val="177"/>
      <scheme val="minor"/>
    </font>
    <font>
      <b/>
      <sz val="11"/>
      <color rgb="FF3F3F3F"/>
      <name val="Arial"/>
      <family val="2"/>
      <charset val="177"/>
      <scheme val="minor"/>
    </font>
    <font>
      <sz val="18"/>
      <color theme="3"/>
      <name val="Times New Roman"/>
      <family val="2"/>
      <charset val="177"/>
      <scheme val="major"/>
    </font>
    <font>
      <b/>
      <sz val="11"/>
      <color theme="1"/>
      <name val="Arial"/>
      <family val="2"/>
      <charset val="177"/>
      <scheme val="minor"/>
    </font>
    <font>
      <sz val="11"/>
      <color rgb="FFFF0000"/>
      <name val="Arial"/>
      <family val="2"/>
      <charset val="177"/>
      <scheme val="minor"/>
    </font>
    <font>
      <b/>
      <sz val="10"/>
      <color rgb="FFFF0000"/>
      <name val="Arial"/>
      <family val="2"/>
    </font>
    <font>
      <sz val="10"/>
      <color rgb="FFFF0000"/>
      <name val="Arial"/>
      <family val="2"/>
    </font>
    <font>
      <sz val="9"/>
      <name val="Arial"/>
      <family val="2"/>
    </font>
    <font>
      <sz val="9"/>
      <color indexed="81"/>
      <name val="Tahoma"/>
      <family val="2"/>
    </font>
    <font>
      <b/>
      <sz val="9"/>
      <color indexed="81"/>
      <name val="Tahoma"/>
      <family val="2"/>
    </font>
    <font>
      <b/>
      <sz val="10"/>
      <color theme="1"/>
      <name val="Arial"/>
      <family val="2"/>
    </font>
  </fonts>
  <fills count="4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45"/>
        <bgColor indexed="64"/>
      </patternFill>
    </fill>
    <fill>
      <patternFill patternType="solid">
        <fgColor indexed="44"/>
        <bgColor indexed="34"/>
      </patternFill>
    </fill>
    <fill>
      <patternFill patternType="solid">
        <fgColor indexed="22"/>
        <bgColor indexed="64"/>
      </patternFill>
    </fill>
    <fill>
      <patternFill patternType="solid">
        <fgColor indexed="4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90">
    <border>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right style="thin">
        <color indexed="64"/>
      </right>
      <top style="thin">
        <color indexed="64"/>
      </top>
      <bottom/>
      <diagonal/>
    </border>
  </borders>
  <cellStyleXfs count="45">
    <xf numFmtId="0" fontId="0" fillId="0" borderId="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1" fillId="32" borderId="0" applyNumberFormat="0" applyBorder="0" applyAlignment="0" applyProtection="0"/>
    <xf numFmtId="0" fontId="22" fillId="33" borderId="70" applyNumberFormat="0" applyAlignment="0" applyProtection="0"/>
    <xf numFmtId="0" fontId="23" fillId="34" borderId="71" applyNumberFormat="0" applyAlignment="0" applyProtection="0"/>
    <xf numFmtId="164" fontId="2" fillId="0" borderId="0" applyFont="0" applyFill="0" applyBorder="0" applyAlignment="0" applyProtection="0"/>
    <xf numFmtId="0" fontId="24" fillId="0" borderId="0" applyNumberFormat="0" applyFill="0" applyBorder="0" applyAlignment="0" applyProtection="0"/>
    <xf numFmtId="0" fontId="25" fillId="35" borderId="0" applyNumberFormat="0" applyBorder="0" applyAlignment="0" applyProtection="0"/>
    <xf numFmtId="0" fontId="26" fillId="0" borderId="72" applyNumberFormat="0" applyFill="0" applyAlignment="0" applyProtection="0"/>
    <xf numFmtId="0" fontId="27" fillId="0" borderId="73" applyNumberFormat="0" applyFill="0" applyAlignment="0" applyProtection="0"/>
    <xf numFmtId="0" fontId="28" fillId="0" borderId="74" applyNumberFormat="0" applyFill="0" applyAlignment="0" applyProtection="0"/>
    <xf numFmtId="0" fontId="28" fillId="0" borderId="0" applyNumberFormat="0" applyFill="0" applyBorder="0" applyAlignment="0" applyProtection="0"/>
    <xf numFmtId="0" fontId="29" fillId="36" borderId="70" applyNumberFormat="0" applyAlignment="0" applyProtection="0"/>
    <xf numFmtId="0" fontId="30" fillId="0" borderId="75" applyNumberFormat="0" applyFill="0" applyAlignment="0" applyProtection="0"/>
    <xf numFmtId="0" fontId="31" fillId="37" borderId="0" applyNumberFormat="0" applyBorder="0" applyAlignment="0" applyProtection="0"/>
    <xf numFmtId="0" fontId="19" fillId="0" borderId="0"/>
    <xf numFmtId="0" fontId="19" fillId="38" borderId="76" applyNumberFormat="0" applyFont="0" applyAlignment="0" applyProtection="0"/>
    <xf numFmtId="0" fontId="32" fillId="33" borderId="77" applyNumberFormat="0" applyAlignment="0" applyProtection="0"/>
    <xf numFmtId="9" fontId="2" fillId="0" borderId="0" applyFont="0" applyFill="0" applyBorder="0" applyAlignment="0" applyProtection="0"/>
    <xf numFmtId="0" fontId="33" fillId="0" borderId="0" applyNumberFormat="0" applyFill="0" applyBorder="0" applyAlignment="0" applyProtection="0"/>
    <xf numFmtId="0" fontId="34" fillId="0" borderId="78" applyNumberFormat="0" applyFill="0" applyAlignment="0" applyProtection="0"/>
    <xf numFmtId="0" fontId="35" fillId="0" borderId="0" applyNumberFormat="0" applyFill="0" applyBorder="0" applyAlignment="0" applyProtection="0"/>
  </cellStyleXfs>
  <cellXfs count="769">
    <xf numFmtId="0" fontId="0" fillId="0" borderId="0" xfId="0"/>
    <xf numFmtId="0" fontId="0" fillId="0" borderId="0" xfId="0" applyBorder="1"/>
    <xf numFmtId="0" fontId="0" fillId="0" borderId="0" xfId="0" applyFill="1" applyBorder="1"/>
    <xf numFmtId="3" fontId="0" fillId="0" borderId="0" xfId="0" applyNumberFormat="1" applyFill="1" applyBorder="1" applyAlignment="1">
      <alignment horizontal="center"/>
    </xf>
    <xf numFmtId="0" fontId="0" fillId="0" borderId="0" xfId="0" applyFill="1" applyBorder="1" applyAlignment="1">
      <alignment horizontal="centerContinuous"/>
    </xf>
    <xf numFmtId="1" fontId="4" fillId="0" borderId="0" xfId="0" applyNumberFormat="1" applyFont="1" applyFill="1" applyBorder="1"/>
    <xf numFmtId="0" fontId="0" fillId="0" borderId="0" xfId="0" applyAlignment="1">
      <alignment horizontal="right" readingOrder="2"/>
    </xf>
    <xf numFmtId="0" fontId="13" fillId="0" borderId="0" xfId="0" applyFont="1" applyBorder="1" applyAlignment="1">
      <alignment horizontal="center" vertical="top" wrapText="1" readingOrder="2"/>
    </xf>
    <xf numFmtId="0" fontId="13" fillId="0" borderId="0" xfId="0" applyFont="1" applyBorder="1" applyAlignment="1">
      <alignment horizontal="right" vertical="top" wrapText="1" readingOrder="2"/>
    </xf>
    <xf numFmtId="0" fontId="0" fillId="0" borderId="0" xfId="0" applyBorder="1" applyAlignment="1">
      <alignment readingOrder="2"/>
    </xf>
    <xf numFmtId="0" fontId="13" fillId="0" borderId="0" xfId="0" applyFont="1" applyBorder="1" applyAlignment="1">
      <alignment horizontal="right" readingOrder="2"/>
    </xf>
    <xf numFmtId="0" fontId="14" fillId="0" borderId="0" xfId="0" applyFont="1" applyBorder="1"/>
    <xf numFmtId="0" fontId="12" fillId="0" borderId="0" xfId="0" applyFont="1" applyBorder="1" applyAlignment="1"/>
    <xf numFmtId="0" fontId="11" fillId="0" borderId="0" xfId="0" applyFont="1" applyBorder="1" applyAlignment="1">
      <alignment horizontal="right" readingOrder="2"/>
    </xf>
    <xf numFmtId="0" fontId="0" fillId="0" borderId="0" xfId="0" applyBorder="1" applyAlignment="1">
      <alignment horizontal="right" readingOrder="2"/>
    </xf>
    <xf numFmtId="0" fontId="10" fillId="0" borderId="0" xfId="0" applyFont="1" applyAlignment="1">
      <alignment horizontal="right" readingOrder="2"/>
    </xf>
    <xf numFmtId="0" fontId="10" fillId="0" borderId="0" xfId="0" applyFont="1" applyBorder="1" applyAlignment="1">
      <alignment horizontal="right" readingOrder="2"/>
    </xf>
    <xf numFmtId="0" fontId="3" fillId="0" borderId="0" xfId="0" applyFont="1" applyFill="1" applyBorder="1" applyAlignment="1">
      <alignment horizontal="centerContinuous"/>
    </xf>
    <xf numFmtId="0" fontId="5" fillId="0" borderId="0" xfId="0" applyFont="1" applyFill="1" applyBorder="1" applyAlignment="1">
      <alignment horizontal="centerContinuous"/>
    </xf>
    <xf numFmtId="167" fontId="4" fillId="0" borderId="0" xfId="0" applyNumberFormat="1" applyFont="1" applyFill="1" applyBorder="1" applyAlignment="1">
      <alignment horizontal="right"/>
    </xf>
    <xf numFmtId="0" fontId="4" fillId="0" borderId="0" xfId="0" applyFont="1" applyFill="1" applyBorder="1" applyAlignment="1">
      <alignment horizontal="centerContinuous"/>
    </xf>
    <xf numFmtId="166" fontId="4" fillId="0" borderId="0" xfId="0" applyNumberFormat="1" applyFont="1" applyFill="1" applyBorder="1" applyAlignment="1">
      <alignment horizontal="centerContinuous"/>
    </xf>
    <xf numFmtId="0" fontId="1" fillId="0" borderId="0" xfId="0" applyFont="1" applyFill="1" applyBorder="1" applyAlignment="1">
      <alignment horizontal="center"/>
    </xf>
    <xf numFmtId="168" fontId="1" fillId="0" borderId="0" xfId="0" applyNumberFormat="1" applyFont="1" applyFill="1" applyBorder="1" applyAlignment="1">
      <alignment horizontal="center"/>
    </xf>
    <xf numFmtId="0" fontId="0" fillId="0" borderId="0" xfId="0" applyFill="1" applyBorder="1" applyAlignment="1">
      <alignment horizontal="center"/>
    </xf>
    <xf numFmtId="1" fontId="0" fillId="0" borderId="0" xfId="0" applyNumberFormat="1" applyFill="1" applyBorder="1" applyAlignment="1">
      <alignment horizontal="center"/>
    </xf>
    <xf numFmtId="168" fontId="0" fillId="0" borderId="0" xfId="0" applyNumberFormat="1" applyFill="1" applyBorder="1" applyAlignment="1">
      <alignment horizontal="center"/>
    </xf>
    <xf numFmtId="168" fontId="0" fillId="0" borderId="0" xfId="0" applyNumberFormat="1" applyFill="1" applyBorder="1"/>
    <xf numFmtId="0" fontId="0" fillId="0" borderId="0" xfId="0" applyBorder="1" applyAlignment="1">
      <alignment horizontal="center" readingOrder="2"/>
    </xf>
    <xf numFmtId="1" fontId="16" fillId="2" borderId="1" xfId="0" applyNumberFormat="1" applyFont="1" applyFill="1" applyBorder="1" applyAlignment="1">
      <alignment horizontal="center"/>
    </xf>
    <xf numFmtId="1" fontId="16" fillId="2" borderId="2" xfId="0" applyNumberFormat="1" applyFont="1" applyFill="1" applyBorder="1" applyAlignment="1">
      <alignment horizontal="center"/>
    </xf>
    <xf numFmtId="1" fontId="16" fillId="2" borderId="3" xfId="0" applyNumberFormat="1" applyFont="1" applyFill="1" applyBorder="1" applyAlignment="1">
      <alignment horizontal="center"/>
    </xf>
    <xf numFmtId="2" fontId="16" fillId="2" borderId="4" xfId="0" applyNumberFormat="1" applyFont="1" applyFill="1" applyBorder="1" applyAlignment="1">
      <alignment horizontal="center"/>
    </xf>
    <xf numFmtId="2" fontId="16" fillId="2" borderId="5" xfId="0" applyNumberFormat="1" applyFont="1" applyFill="1" applyBorder="1" applyAlignment="1">
      <alignment horizontal="center"/>
    </xf>
    <xf numFmtId="2" fontId="16" fillId="2" borderId="2" xfId="0" applyNumberFormat="1" applyFont="1" applyFill="1" applyBorder="1" applyAlignment="1" applyProtection="1">
      <alignment horizontal="center"/>
    </xf>
    <xf numFmtId="1" fontId="16" fillId="2" borderId="6" xfId="0" applyNumberFormat="1" applyFont="1" applyFill="1" applyBorder="1" applyAlignment="1">
      <alignment horizontal="center"/>
    </xf>
    <xf numFmtId="1" fontId="16" fillId="2" borderId="7" xfId="0" applyNumberFormat="1" applyFont="1" applyFill="1" applyBorder="1" applyAlignment="1">
      <alignment horizontal="center"/>
    </xf>
    <xf numFmtId="2" fontId="16" fillId="3" borderId="8" xfId="0" applyNumberFormat="1" applyFont="1" applyFill="1" applyBorder="1" applyAlignment="1">
      <alignment horizontal="center" wrapText="1"/>
    </xf>
    <xf numFmtId="2" fontId="16" fillId="3" borderId="9" xfId="0" applyNumberFormat="1" applyFont="1" applyFill="1" applyBorder="1" applyAlignment="1">
      <alignment horizontal="center" wrapText="1"/>
    </xf>
    <xf numFmtId="2" fontId="16" fillId="3" borderId="10" xfId="0" applyNumberFormat="1" applyFont="1" applyFill="1" applyBorder="1" applyAlignment="1">
      <alignment horizontal="center" wrapText="1"/>
    </xf>
    <xf numFmtId="2" fontId="16" fillId="4" borderId="10" xfId="0" applyNumberFormat="1" applyFont="1" applyFill="1" applyBorder="1" applyAlignment="1">
      <alignment horizontal="center" wrapText="1"/>
    </xf>
    <xf numFmtId="2" fontId="16" fillId="2" borderId="11" xfId="0" applyNumberFormat="1" applyFont="1" applyFill="1" applyBorder="1" applyAlignment="1">
      <alignment horizontal="center"/>
    </xf>
    <xf numFmtId="2" fontId="16" fillId="2" borderId="12" xfId="0" applyNumberFormat="1" applyFont="1" applyFill="1" applyBorder="1" applyAlignment="1">
      <alignment horizontal="center"/>
    </xf>
    <xf numFmtId="2" fontId="16" fillId="2" borderId="13" xfId="0" applyNumberFormat="1" applyFont="1" applyFill="1" applyBorder="1" applyAlignment="1">
      <alignment horizontal="center"/>
    </xf>
    <xf numFmtId="2" fontId="16" fillId="2" borderId="14" xfId="0" applyNumberFormat="1" applyFont="1" applyFill="1" applyBorder="1" applyAlignment="1">
      <alignment horizontal="center"/>
    </xf>
    <xf numFmtId="2" fontId="16" fillId="2" borderId="15" xfId="0" applyNumberFormat="1" applyFont="1" applyFill="1" applyBorder="1" applyAlignment="1">
      <alignment horizontal="center"/>
    </xf>
    <xf numFmtId="2" fontId="16" fillId="2" borderId="16" xfId="0" applyNumberFormat="1" applyFont="1" applyFill="1" applyBorder="1" applyAlignment="1">
      <alignment horizontal="center"/>
    </xf>
    <xf numFmtId="2" fontId="16" fillId="2" borderId="17" xfId="0" applyNumberFormat="1" applyFont="1" applyFill="1" applyBorder="1" applyAlignment="1" applyProtection="1">
      <alignment horizontal="center"/>
    </xf>
    <xf numFmtId="2" fontId="16" fillId="2" borderId="1" xfId="0" applyNumberFormat="1" applyFont="1" applyFill="1" applyBorder="1" applyAlignment="1">
      <alignment horizontal="center"/>
    </xf>
    <xf numFmtId="2" fontId="16" fillId="2" borderId="3" xfId="0" applyNumberFormat="1" applyFont="1" applyFill="1" applyBorder="1" applyAlignment="1">
      <alignment horizontal="center"/>
    </xf>
    <xf numFmtId="2" fontId="16" fillId="2" borderId="18" xfId="0" applyNumberFormat="1" applyFont="1" applyFill="1" applyBorder="1" applyAlignment="1">
      <alignment horizontal="center"/>
    </xf>
    <xf numFmtId="2" fontId="16" fillId="2" borderId="19" xfId="0" applyNumberFormat="1" applyFont="1" applyFill="1" applyBorder="1" applyAlignment="1">
      <alignment horizontal="center"/>
    </xf>
    <xf numFmtId="2" fontId="16" fillId="2" borderId="20" xfId="0" applyNumberFormat="1" applyFont="1" applyFill="1" applyBorder="1" applyAlignment="1">
      <alignment horizontal="center"/>
    </xf>
    <xf numFmtId="2" fontId="16" fillId="5" borderId="21" xfId="0" applyNumberFormat="1" applyFont="1" applyFill="1" applyBorder="1" applyAlignment="1" applyProtection="1">
      <alignment horizontal="center"/>
    </xf>
    <xf numFmtId="2" fontId="16" fillId="5" borderId="18" xfId="0" applyNumberFormat="1" applyFont="1" applyFill="1" applyBorder="1" applyAlignment="1" applyProtection="1">
      <alignment horizontal="center"/>
    </xf>
    <xf numFmtId="2" fontId="16" fillId="5" borderId="22" xfId="0" applyNumberFormat="1" applyFont="1" applyFill="1" applyBorder="1" applyAlignment="1" applyProtection="1">
      <alignment horizontal="center"/>
    </xf>
    <xf numFmtId="1" fontId="16" fillId="5" borderId="2" xfId="0" applyNumberFormat="1" applyFont="1" applyFill="1" applyBorder="1" applyAlignment="1">
      <alignment horizontal="center"/>
    </xf>
    <xf numFmtId="2" fontId="13" fillId="0" borderId="0" xfId="0" applyNumberFormat="1" applyFont="1" applyBorder="1" applyAlignment="1">
      <alignment horizontal="right" vertical="top" wrapText="1" readingOrder="2"/>
    </xf>
    <xf numFmtId="3" fontId="13" fillId="0" borderId="0" xfId="0" applyNumberFormat="1" applyFont="1" applyBorder="1" applyAlignment="1">
      <alignment horizontal="right" vertical="top" wrapText="1" readingOrder="2"/>
    </xf>
    <xf numFmtId="2" fontId="9" fillId="2" borderId="23" xfId="0" applyNumberFormat="1" applyFont="1" applyFill="1" applyBorder="1" applyAlignment="1">
      <alignment horizontal="center" wrapText="1"/>
    </xf>
    <xf numFmtId="2" fontId="9" fillId="2" borderId="24" xfId="0" applyNumberFormat="1" applyFont="1" applyFill="1" applyBorder="1" applyAlignment="1">
      <alignment horizontal="center"/>
    </xf>
    <xf numFmtId="0" fontId="15" fillId="0" borderId="0" xfId="0" applyFont="1" applyBorder="1" applyAlignment="1">
      <alignment horizontal="left"/>
    </xf>
    <xf numFmtId="2" fontId="16" fillId="0" borderId="10" xfId="0" applyNumberFormat="1" applyFont="1" applyBorder="1"/>
    <xf numFmtId="2" fontId="16" fillId="0" borderId="0" xfId="0" applyNumberFormat="1" applyFont="1"/>
    <xf numFmtId="2" fontId="16" fillId="0" borderId="0" xfId="0" applyNumberFormat="1" applyFont="1" applyAlignment="1">
      <alignment horizontal="center"/>
    </xf>
    <xf numFmtId="2" fontId="16" fillId="0" borderId="0" xfId="0" applyNumberFormat="1" applyFont="1" applyFill="1" applyBorder="1"/>
    <xf numFmtId="2" fontId="16" fillId="0" borderId="0" xfId="0" applyNumberFormat="1" applyFont="1" applyFill="1" applyBorder="1" applyAlignment="1">
      <alignment horizontal="center"/>
    </xf>
    <xf numFmtId="1" fontId="16" fillId="2" borderId="2" xfId="0" applyNumberFormat="1" applyFont="1" applyFill="1" applyBorder="1" applyAlignment="1" applyProtection="1">
      <alignment horizontal="center"/>
    </xf>
    <xf numFmtId="165" fontId="16" fillId="2" borderId="1" xfId="0" applyNumberFormat="1" applyFont="1" applyFill="1" applyBorder="1" applyAlignment="1">
      <alignment horizontal="center"/>
    </xf>
    <xf numFmtId="165" fontId="16" fillId="2" borderId="4" xfId="0" applyNumberFormat="1" applyFont="1" applyFill="1" applyBorder="1" applyAlignment="1">
      <alignment horizontal="center"/>
    </xf>
    <xf numFmtId="1" fontId="16" fillId="2" borderId="4" xfId="0" applyNumberFormat="1" applyFont="1" applyFill="1" applyBorder="1" applyAlignment="1">
      <alignment horizontal="center"/>
    </xf>
    <xf numFmtId="165" fontId="16" fillId="2" borderId="3" xfId="0" applyNumberFormat="1" applyFont="1" applyFill="1" applyBorder="1" applyAlignment="1">
      <alignment horizontal="center"/>
    </xf>
    <xf numFmtId="165" fontId="16" fillId="2" borderId="5" xfId="0" applyNumberFormat="1" applyFont="1" applyFill="1" applyBorder="1" applyAlignment="1">
      <alignment horizontal="center"/>
    </xf>
    <xf numFmtId="1" fontId="16" fillId="2" borderId="5" xfId="0" applyNumberFormat="1" applyFont="1" applyFill="1" applyBorder="1" applyAlignment="1">
      <alignment horizontal="center"/>
    </xf>
    <xf numFmtId="1" fontId="16" fillId="2" borderId="18" xfId="0" applyNumberFormat="1" applyFont="1" applyFill="1" applyBorder="1" applyAlignment="1">
      <alignment horizontal="center"/>
    </xf>
    <xf numFmtId="1" fontId="16" fillId="2" borderId="22" xfId="0" applyNumberFormat="1" applyFont="1" applyFill="1" applyBorder="1" applyAlignment="1">
      <alignment horizontal="center"/>
    </xf>
    <xf numFmtId="165" fontId="16" fillId="2" borderId="20" xfId="0" applyNumberFormat="1" applyFont="1" applyFill="1" applyBorder="1" applyAlignment="1">
      <alignment horizontal="center"/>
    </xf>
    <xf numFmtId="1" fontId="16" fillId="2" borderId="19" xfId="0" applyNumberFormat="1" applyFont="1" applyFill="1" applyBorder="1" applyAlignment="1">
      <alignment horizontal="center"/>
    </xf>
    <xf numFmtId="2" fontId="16" fillId="3" borderId="25" xfId="0" applyNumberFormat="1" applyFont="1" applyFill="1" applyBorder="1" applyAlignment="1">
      <alignment horizontal="center" wrapText="1"/>
    </xf>
    <xf numFmtId="2" fontId="16" fillId="3" borderId="23" xfId="0" applyNumberFormat="1" applyFont="1" applyFill="1" applyBorder="1" applyAlignment="1">
      <alignment horizontal="center" wrapText="1"/>
    </xf>
    <xf numFmtId="2" fontId="16" fillId="2" borderId="26" xfId="0" applyNumberFormat="1" applyFont="1" applyFill="1" applyBorder="1" applyAlignment="1">
      <alignment horizontal="center"/>
    </xf>
    <xf numFmtId="2" fontId="16" fillId="2" borderId="27" xfId="0" applyNumberFormat="1" applyFont="1" applyFill="1" applyBorder="1" applyAlignment="1">
      <alignment horizontal="center"/>
    </xf>
    <xf numFmtId="0" fontId="9" fillId="0" borderId="0" xfId="0" applyFont="1"/>
    <xf numFmtId="0" fontId="9" fillId="2" borderId="28" xfId="0" applyFont="1" applyFill="1" applyBorder="1" applyAlignment="1">
      <alignment horizontal="center"/>
    </xf>
    <xf numFmtId="0" fontId="9" fillId="2" borderId="8" xfId="0" applyFont="1" applyFill="1" applyBorder="1" applyAlignment="1">
      <alignment horizontal="center"/>
    </xf>
    <xf numFmtId="0" fontId="9" fillId="2" borderId="9" xfId="0" applyFont="1" applyFill="1" applyBorder="1" applyAlignment="1">
      <alignment horizontal="center"/>
    </xf>
    <xf numFmtId="0" fontId="9" fillId="2" borderId="8" xfId="0" applyFont="1" applyFill="1" applyBorder="1" applyAlignment="1">
      <alignment horizontal="center" wrapText="1"/>
    </xf>
    <xf numFmtId="0" fontId="9" fillId="2" borderId="25" xfId="0" applyFont="1" applyFill="1" applyBorder="1" applyAlignment="1">
      <alignment horizontal="center"/>
    </xf>
    <xf numFmtId="0" fontId="9" fillId="2" borderId="29" xfId="0" applyFont="1" applyFill="1" applyBorder="1" applyAlignment="1">
      <alignment horizontal="center"/>
    </xf>
    <xf numFmtId="0" fontId="9" fillId="2" borderId="23" xfId="0" applyFont="1" applyFill="1" applyBorder="1" applyAlignment="1">
      <alignment horizontal="center"/>
    </xf>
    <xf numFmtId="0" fontId="9" fillId="2" borderId="24" xfId="0" applyFont="1" applyFill="1" applyBorder="1" applyAlignment="1">
      <alignment horizontal="center"/>
    </xf>
    <xf numFmtId="0" fontId="9" fillId="2" borderId="30" xfId="0" applyFont="1" applyFill="1" applyBorder="1" applyAlignment="1">
      <alignment horizontal="center" wrapText="1"/>
    </xf>
    <xf numFmtId="171" fontId="9" fillId="0" borderId="31" xfId="0" applyNumberFormat="1" applyFont="1" applyBorder="1" applyAlignment="1">
      <alignment horizontal="center"/>
    </xf>
    <xf numFmtId="165" fontId="9" fillId="0" borderId="32" xfId="0" applyNumberFormat="1" applyFont="1" applyFill="1" applyBorder="1" applyAlignment="1">
      <alignment horizontal="center"/>
    </xf>
    <xf numFmtId="165" fontId="9" fillId="0" borderId="33" xfId="0" applyNumberFormat="1" applyFont="1" applyFill="1" applyBorder="1" applyAlignment="1">
      <alignment horizontal="center"/>
    </xf>
    <xf numFmtId="165" fontId="9" fillId="0" borderId="34" xfId="0" applyNumberFormat="1" applyFont="1" applyFill="1" applyBorder="1" applyAlignment="1">
      <alignment horizontal="center"/>
    </xf>
    <xf numFmtId="0" fontId="9" fillId="0" borderId="33" xfId="0" applyNumberFormat="1" applyFont="1" applyFill="1" applyBorder="1" applyAlignment="1">
      <alignment horizontal="center"/>
    </xf>
    <xf numFmtId="0" fontId="9" fillId="0" borderId="33" xfId="0" applyFont="1" applyBorder="1" applyAlignment="1">
      <alignment horizontal="center"/>
    </xf>
    <xf numFmtId="2" fontId="9" fillId="0" borderId="33" xfId="0" applyNumberFormat="1" applyFont="1" applyBorder="1" applyAlignment="1">
      <alignment horizontal="center"/>
    </xf>
    <xf numFmtId="165" fontId="9" fillId="0" borderId="35" xfId="0" applyNumberFormat="1" applyFont="1" applyFill="1" applyBorder="1" applyAlignment="1">
      <alignment horizontal="center"/>
    </xf>
    <xf numFmtId="2" fontId="9" fillId="0" borderId="36" xfId="0" applyNumberFormat="1" applyFont="1" applyFill="1" applyBorder="1" applyAlignment="1">
      <alignment horizontal="center"/>
    </xf>
    <xf numFmtId="2" fontId="9" fillId="0" borderId="34" xfId="0" applyNumberFormat="1" applyFont="1" applyFill="1" applyBorder="1" applyAlignment="1">
      <alignment horizontal="center"/>
    </xf>
    <xf numFmtId="165" fontId="9" fillId="0" borderId="32" xfId="41" applyNumberFormat="1" applyFont="1" applyFill="1" applyBorder="1" applyAlignment="1">
      <alignment horizontal="center"/>
    </xf>
    <xf numFmtId="3" fontId="9" fillId="2" borderId="11" xfId="0" applyNumberFormat="1" applyFont="1" applyFill="1" applyBorder="1" applyAlignment="1">
      <alignment horizontal="center"/>
    </xf>
    <xf numFmtId="3" fontId="9" fillId="2" borderId="12" xfId="0" applyNumberFormat="1" applyFont="1" applyFill="1" applyBorder="1" applyAlignment="1">
      <alignment horizontal="center"/>
    </xf>
    <xf numFmtId="3" fontId="9" fillId="2" borderId="16" xfId="0" applyNumberFormat="1" applyFont="1" applyFill="1" applyBorder="1" applyAlignment="1">
      <alignment horizontal="center"/>
    </xf>
    <xf numFmtId="165" fontId="9" fillId="2" borderId="11" xfId="0" applyNumberFormat="1" applyFont="1" applyFill="1" applyBorder="1" applyAlignment="1">
      <alignment horizontal="center"/>
    </xf>
    <xf numFmtId="165" fontId="9" fillId="2" borderId="13" xfId="0" applyNumberFormat="1" applyFont="1" applyFill="1" applyBorder="1" applyAlignment="1">
      <alignment horizontal="center"/>
    </xf>
    <xf numFmtId="165" fontId="9" fillId="2" borderId="14" xfId="0" applyNumberFormat="1" applyFont="1" applyFill="1" applyBorder="1" applyAlignment="1">
      <alignment horizontal="center"/>
    </xf>
    <xf numFmtId="2" fontId="9" fillId="2" borderId="12" xfId="0" applyNumberFormat="1" applyFont="1" applyFill="1" applyBorder="1" applyAlignment="1">
      <alignment horizontal="center"/>
    </xf>
    <xf numFmtId="3" fontId="9" fillId="2" borderId="14" xfId="0" applyNumberFormat="1" applyFont="1" applyFill="1" applyBorder="1" applyAlignment="1">
      <alignment horizontal="center"/>
    </xf>
    <xf numFmtId="2" fontId="9" fillId="2" borderId="16" xfId="0" applyNumberFormat="1" applyFont="1" applyFill="1" applyBorder="1" applyAlignment="1">
      <alignment horizontal="center"/>
    </xf>
    <xf numFmtId="3" fontId="9" fillId="2" borderId="1" xfId="0" applyNumberFormat="1" applyFont="1" applyFill="1" applyBorder="1" applyAlignment="1">
      <alignment horizontal="center"/>
    </xf>
    <xf numFmtId="3" fontId="9" fillId="2" borderId="4" xfId="0" applyNumberFormat="1" applyFont="1" applyFill="1" applyBorder="1" applyAlignment="1">
      <alignment horizontal="center"/>
    </xf>
    <xf numFmtId="3" fontId="9" fillId="2" borderId="20" xfId="0" applyNumberFormat="1" applyFont="1" applyFill="1" applyBorder="1" applyAlignment="1">
      <alignment horizontal="center"/>
    </xf>
    <xf numFmtId="165" fontId="9" fillId="2" borderId="1" xfId="0" applyNumberFormat="1" applyFont="1" applyFill="1" applyBorder="1" applyAlignment="1">
      <alignment horizontal="center"/>
    </xf>
    <xf numFmtId="165" fontId="9" fillId="2" borderId="3" xfId="0" applyNumberFormat="1" applyFont="1" applyFill="1" applyBorder="1" applyAlignment="1">
      <alignment horizontal="center"/>
    </xf>
    <xf numFmtId="165" fontId="9" fillId="2" borderId="5" xfId="0" applyNumberFormat="1" applyFont="1" applyFill="1" applyBorder="1" applyAlignment="1">
      <alignment horizontal="center"/>
    </xf>
    <xf numFmtId="2" fontId="9" fillId="2" borderId="4" xfId="0" applyNumberFormat="1" applyFont="1" applyFill="1" applyBorder="1" applyAlignment="1">
      <alignment horizontal="center"/>
    </xf>
    <xf numFmtId="169" fontId="9" fillId="2" borderId="5" xfId="0" applyNumberFormat="1" applyFont="1" applyFill="1" applyBorder="1" applyAlignment="1">
      <alignment horizontal="center"/>
    </xf>
    <xf numFmtId="2" fontId="9" fillId="2" borderId="20" xfId="0" applyNumberFormat="1" applyFont="1" applyFill="1" applyBorder="1" applyAlignment="1">
      <alignment horizontal="center"/>
    </xf>
    <xf numFmtId="3" fontId="9" fillId="2" borderId="6" xfId="0" applyNumberFormat="1" applyFont="1" applyFill="1" applyBorder="1" applyAlignment="1">
      <alignment horizontal="center"/>
    </xf>
    <xf numFmtId="3" fontId="9" fillId="2" borderId="37" xfId="0" applyNumberFormat="1" applyFont="1" applyFill="1" applyBorder="1" applyAlignment="1">
      <alignment horizontal="center"/>
    </xf>
    <xf numFmtId="3" fontId="9" fillId="2" borderId="38" xfId="0" applyNumberFormat="1" applyFont="1" applyFill="1" applyBorder="1" applyAlignment="1">
      <alignment horizontal="center"/>
    </xf>
    <xf numFmtId="165" fontId="9" fillId="2" borderId="6" xfId="0" applyNumberFormat="1" applyFont="1" applyFill="1" applyBorder="1" applyAlignment="1">
      <alignment horizontal="center"/>
    </xf>
    <xf numFmtId="165" fontId="9" fillId="2" borderId="39" xfId="0" applyNumberFormat="1" applyFont="1" applyFill="1" applyBorder="1" applyAlignment="1">
      <alignment horizontal="center"/>
    </xf>
    <xf numFmtId="165" fontId="9" fillId="2" borderId="40" xfId="0" applyNumberFormat="1" applyFont="1" applyFill="1" applyBorder="1" applyAlignment="1">
      <alignment horizontal="center"/>
    </xf>
    <xf numFmtId="2" fontId="9" fillId="2" borderId="37" xfId="0" applyNumberFormat="1" applyFont="1" applyFill="1" applyBorder="1" applyAlignment="1">
      <alignment horizontal="center"/>
    </xf>
    <xf numFmtId="169" fontId="9" fillId="2" borderId="40" xfId="0" applyNumberFormat="1" applyFont="1" applyFill="1" applyBorder="1" applyAlignment="1">
      <alignment horizontal="center"/>
    </xf>
    <xf numFmtId="2" fontId="9" fillId="2" borderId="38" xfId="0" applyNumberFormat="1" applyFont="1" applyFill="1" applyBorder="1" applyAlignment="1">
      <alignment horizontal="center"/>
    </xf>
    <xf numFmtId="165" fontId="9" fillId="0" borderId="0" xfId="0" applyNumberFormat="1" applyFont="1"/>
    <xf numFmtId="0" fontId="17" fillId="6" borderId="41" xfId="0" applyFont="1" applyFill="1" applyBorder="1" applyAlignment="1">
      <alignment horizontal="center" wrapText="1"/>
    </xf>
    <xf numFmtId="0" fontId="9" fillId="2" borderId="10" xfId="0" applyFont="1" applyFill="1" applyBorder="1" applyAlignment="1">
      <alignment horizontal="center" wrapText="1"/>
    </xf>
    <xf numFmtId="0" fontId="9" fillId="2" borderId="25" xfId="0" applyFont="1" applyFill="1" applyBorder="1" applyAlignment="1">
      <alignment horizontal="center" wrapText="1"/>
    </xf>
    <xf numFmtId="0" fontId="9" fillId="2" borderId="23" xfId="0" applyFont="1" applyFill="1" applyBorder="1" applyAlignment="1">
      <alignment horizontal="center" wrapText="1"/>
    </xf>
    <xf numFmtId="0" fontId="9" fillId="2" borderId="24" xfId="0" applyFont="1" applyFill="1" applyBorder="1" applyAlignment="1">
      <alignment horizontal="center" wrapText="1"/>
    </xf>
    <xf numFmtId="0" fontId="9" fillId="2" borderId="29" xfId="0" applyFont="1" applyFill="1" applyBorder="1" applyAlignment="1">
      <alignment horizontal="center" wrapText="1"/>
    </xf>
    <xf numFmtId="0" fontId="9" fillId="2" borderId="42" xfId="0" applyFont="1" applyFill="1" applyBorder="1" applyAlignment="1">
      <alignment horizontal="center" wrapText="1"/>
    </xf>
    <xf numFmtId="0" fontId="9" fillId="2" borderId="43" xfId="0" applyFont="1" applyFill="1" applyBorder="1" applyAlignment="1">
      <alignment horizontal="center" wrapText="1"/>
    </xf>
    <xf numFmtId="0" fontId="9" fillId="2" borderId="44" xfId="0" applyFont="1" applyFill="1" applyBorder="1" applyAlignment="1">
      <alignment horizontal="center" wrapText="1"/>
    </xf>
    <xf numFmtId="0" fontId="9" fillId="2" borderId="45" xfId="0" applyFont="1" applyFill="1" applyBorder="1" applyAlignment="1">
      <alignment horizontal="center" wrapText="1"/>
    </xf>
    <xf numFmtId="0" fontId="9" fillId="2" borderId="42" xfId="0" applyFont="1" applyFill="1" applyBorder="1" applyAlignment="1">
      <alignment horizontal="center"/>
    </xf>
    <xf numFmtId="0" fontId="9" fillId="2" borderId="10" xfId="0" applyFont="1" applyFill="1" applyBorder="1" applyAlignment="1">
      <alignment horizontal="center"/>
    </xf>
    <xf numFmtId="1" fontId="9" fillId="0" borderId="32" xfId="0" applyNumberFormat="1" applyFont="1" applyFill="1" applyBorder="1" applyAlignment="1">
      <alignment horizontal="center"/>
    </xf>
    <xf numFmtId="1" fontId="9" fillId="0" borderId="46" xfId="0" applyNumberFormat="1" applyFont="1" applyFill="1" applyBorder="1" applyAlignment="1">
      <alignment horizontal="center"/>
    </xf>
    <xf numFmtId="1" fontId="9" fillId="0" borderId="33" xfId="0" applyNumberFormat="1" applyFont="1" applyFill="1" applyBorder="1" applyAlignment="1">
      <alignment horizontal="center"/>
    </xf>
    <xf numFmtId="1" fontId="9" fillId="0" borderId="0" xfId="0" applyNumberFormat="1" applyFont="1" applyFill="1" applyBorder="1" applyAlignment="1">
      <alignment horizontal="center"/>
    </xf>
    <xf numFmtId="2" fontId="9" fillId="0" borderId="32" xfId="0" applyNumberFormat="1" applyFont="1" applyFill="1" applyBorder="1" applyAlignment="1">
      <alignment horizontal="center"/>
    </xf>
    <xf numFmtId="2" fontId="9" fillId="0" borderId="33" xfId="0" applyNumberFormat="1" applyFont="1" applyFill="1" applyBorder="1" applyAlignment="1">
      <alignment horizontal="center"/>
    </xf>
    <xf numFmtId="1" fontId="9" fillId="0" borderId="33" xfId="0" applyNumberFormat="1" applyFont="1" applyBorder="1" applyAlignment="1">
      <alignment horizontal="center"/>
    </xf>
    <xf numFmtId="1" fontId="9" fillId="0" borderId="47" xfId="0" applyNumberFormat="1" applyFont="1" applyFill="1" applyBorder="1" applyAlignment="1">
      <alignment horizontal="center"/>
    </xf>
    <xf numFmtId="2" fontId="9" fillId="0" borderId="48" xfId="0" applyNumberFormat="1" applyFont="1" applyBorder="1" applyAlignment="1">
      <alignment horizontal="center"/>
    </xf>
    <xf numFmtId="2" fontId="9" fillId="0" borderId="49" xfId="0" applyNumberFormat="1" applyFont="1" applyBorder="1" applyAlignment="1">
      <alignment horizontal="center"/>
    </xf>
    <xf numFmtId="2" fontId="9" fillId="0" borderId="35" xfId="0" applyNumberFormat="1" applyFont="1" applyBorder="1" applyAlignment="1">
      <alignment horizontal="center"/>
    </xf>
    <xf numFmtId="0" fontId="9" fillId="0" borderId="31" xfId="0" applyFont="1" applyBorder="1" applyAlignment="1">
      <alignment horizontal="center"/>
    </xf>
    <xf numFmtId="2" fontId="9" fillId="0" borderId="50" xfId="0" applyNumberFormat="1" applyFont="1" applyBorder="1" applyAlignment="1">
      <alignment horizontal="center"/>
    </xf>
    <xf numFmtId="2" fontId="9" fillId="0" borderId="0" xfId="0" applyNumberFormat="1" applyFont="1" applyBorder="1" applyAlignment="1">
      <alignment horizontal="center"/>
    </xf>
    <xf numFmtId="2" fontId="9" fillId="0" borderId="32" xfId="0" applyNumberFormat="1" applyFont="1" applyBorder="1" applyAlignment="1">
      <alignment horizontal="center"/>
    </xf>
    <xf numFmtId="2" fontId="9" fillId="0" borderId="31" xfId="0" applyNumberFormat="1" applyFont="1" applyBorder="1" applyAlignment="1">
      <alignment horizontal="center"/>
    </xf>
    <xf numFmtId="1" fontId="9" fillId="0" borderId="50" xfId="0" applyNumberFormat="1" applyFont="1" applyFill="1" applyBorder="1" applyAlignment="1">
      <alignment horizontal="center"/>
    </xf>
    <xf numFmtId="2" fontId="9" fillId="0" borderId="47" xfId="0" applyNumberFormat="1" applyFont="1" applyBorder="1" applyAlignment="1">
      <alignment horizontal="center"/>
    </xf>
    <xf numFmtId="1" fontId="9" fillId="0" borderId="0" xfId="41" applyNumberFormat="1" applyFont="1" applyFill="1" applyBorder="1" applyAlignment="1">
      <alignment horizontal="center"/>
    </xf>
    <xf numFmtId="1" fontId="9" fillId="0" borderId="32" xfId="0" applyNumberFormat="1" applyFont="1" applyBorder="1" applyAlignment="1">
      <alignment horizontal="center"/>
    </xf>
    <xf numFmtId="1" fontId="9" fillId="0" borderId="50" xfId="0" applyNumberFormat="1" applyFont="1" applyBorder="1" applyAlignment="1">
      <alignment horizontal="center"/>
    </xf>
    <xf numFmtId="1" fontId="9" fillId="0" borderId="0" xfId="0" applyNumberFormat="1" applyFont="1" applyBorder="1" applyAlignment="1">
      <alignment horizontal="center"/>
    </xf>
    <xf numFmtId="2" fontId="9" fillId="0" borderId="50" xfId="0" applyNumberFormat="1" applyFont="1" applyFill="1" applyBorder="1" applyAlignment="1">
      <alignment horizontal="center"/>
    </xf>
    <xf numFmtId="2" fontId="9" fillId="0" borderId="34" xfId="0" applyNumberFormat="1" applyFont="1" applyBorder="1" applyAlignment="1">
      <alignment horizontal="center"/>
    </xf>
    <xf numFmtId="3" fontId="9" fillId="2" borderId="13" xfId="0" applyNumberFormat="1" applyFont="1" applyFill="1" applyBorder="1" applyAlignment="1">
      <alignment horizontal="center"/>
    </xf>
    <xf numFmtId="1" fontId="9" fillId="2" borderId="12" xfId="0" applyNumberFormat="1" applyFont="1" applyFill="1" applyBorder="1" applyAlignment="1">
      <alignment horizontal="center"/>
    </xf>
    <xf numFmtId="1" fontId="9" fillId="2" borderId="15" xfId="0" applyNumberFormat="1" applyFont="1" applyFill="1" applyBorder="1" applyAlignment="1">
      <alignment horizontal="center"/>
    </xf>
    <xf numFmtId="2" fontId="9" fillId="2" borderId="11" xfId="0" applyNumberFormat="1" applyFont="1" applyFill="1" applyBorder="1" applyAlignment="1">
      <alignment horizontal="center"/>
    </xf>
    <xf numFmtId="2" fontId="9" fillId="2" borderId="15" xfId="0" applyNumberFormat="1" applyFont="1" applyFill="1" applyBorder="1" applyAlignment="1">
      <alignment horizontal="center"/>
    </xf>
    <xf numFmtId="1" fontId="9" fillId="2" borderId="17" xfId="0" applyNumberFormat="1" applyFont="1" applyFill="1" applyBorder="1" applyAlignment="1">
      <alignment horizontal="center"/>
    </xf>
    <xf numFmtId="2" fontId="9" fillId="2" borderId="26" xfId="0" applyNumberFormat="1" applyFont="1" applyFill="1" applyBorder="1" applyAlignment="1">
      <alignment horizontal="center"/>
    </xf>
    <xf numFmtId="2" fontId="9" fillId="2" borderId="17" xfId="0" applyNumberFormat="1" applyFont="1" applyFill="1" applyBorder="1" applyAlignment="1">
      <alignment horizontal="center"/>
    </xf>
    <xf numFmtId="3" fontId="9" fillId="2" borderId="3" xfId="0" applyNumberFormat="1" applyFont="1" applyFill="1" applyBorder="1" applyAlignment="1">
      <alignment horizontal="center"/>
    </xf>
    <xf numFmtId="3" fontId="9" fillId="2" borderId="5" xfId="0" applyNumberFormat="1" applyFont="1" applyFill="1" applyBorder="1" applyAlignment="1">
      <alignment horizontal="center"/>
    </xf>
    <xf numFmtId="4" fontId="9" fillId="2" borderId="1" xfId="0" applyNumberFormat="1" applyFont="1" applyFill="1" applyBorder="1" applyAlignment="1">
      <alignment horizontal="center"/>
    </xf>
    <xf numFmtId="4" fontId="9" fillId="2" borderId="4" xfId="0" applyNumberFormat="1" applyFont="1" applyFill="1" applyBorder="1" applyAlignment="1">
      <alignment horizontal="center"/>
    </xf>
    <xf numFmtId="1" fontId="9" fillId="2" borderId="4" xfId="0" applyNumberFormat="1" applyFont="1" applyFill="1" applyBorder="1" applyAlignment="1">
      <alignment horizontal="center"/>
    </xf>
    <xf numFmtId="1" fontId="9" fillId="2" borderId="19" xfId="0" applyNumberFormat="1" applyFont="1" applyFill="1" applyBorder="1" applyAlignment="1">
      <alignment horizontal="center"/>
    </xf>
    <xf numFmtId="2" fontId="9" fillId="2" borderId="1" xfId="0" applyNumberFormat="1" applyFont="1" applyFill="1" applyBorder="1" applyAlignment="1">
      <alignment horizontal="center"/>
    </xf>
    <xf numFmtId="2" fontId="9" fillId="2" borderId="19" xfId="0" applyNumberFormat="1" applyFont="1" applyFill="1" applyBorder="1" applyAlignment="1">
      <alignment horizontal="center"/>
    </xf>
    <xf numFmtId="1" fontId="9" fillId="2" borderId="2" xfId="0" applyNumberFormat="1" applyFont="1" applyFill="1" applyBorder="1" applyAlignment="1">
      <alignment horizontal="center"/>
    </xf>
    <xf numFmtId="2" fontId="9" fillId="2" borderId="27" xfId="0" applyNumberFormat="1" applyFont="1" applyFill="1" applyBorder="1" applyAlignment="1">
      <alignment horizontal="center"/>
    </xf>
    <xf numFmtId="2" fontId="9" fillId="2" borderId="2" xfId="0" applyNumberFormat="1" applyFont="1" applyFill="1" applyBorder="1" applyAlignment="1">
      <alignment horizontal="center"/>
    </xf>
    <xf numFmtId="3" fontId="9" fillId="2" borderId="39" xfId="0" applyNumberFormat="1" applyFont="1" applyFill="1" applyBorder="1" applyAlignment="1">
      <alignment horizontal="center"/>
    </xf>
    <xf numFmtId="3" fontId="9" fillId="2" borderId="40" xfId="0" applyNumberFormat="1" applyFont="1" applyFill="1" applyBorder="1" applyAlignment="1">
      <alignment horizontal="center"/>
    </xf>
    <xf numFmtId="4" fontId="9" fillId="2" borderId="6" xfId="0" applyNumberFormat="1" applyFont="1" applyFill="1" applyBorder="1" applyAlignment="1">
      <alignment horizontal="center"/>
    </xf>
    <xf numFmtId="4" fontId="9" fillId="2" borderId="37" xfId="0" applyNumberFormat="1" applyFont="1" applyFill="1" applyBorder="1" applyAlignment="1">
      <alignment horizontal="center"/>
    </xf>
    <xf numFmtId="1" fontId="9" fillId="2" borderId="37" xfId="0" applyNumberFormat="1" applyFont="1" applyFill="1" applyBorder="1" applyAlignment="1">
      <alignment horizontal="center"/>
    </xf>
    <xf numFmtId="1" fontId="9" fillId="2" borderId="51" xfId="0" applyNumberFormat="1" applyFont="1" applyFill="1" applyBorder="1" applyAlignment="1">
      <alignment horizontal="center"/>
    </xf>
    <xf numFmtId="2" fontId="9" fillId="2" borderId="6" xfId="0" applyNumberFormat="1" applyFont="1" applyFill="1" applyBorder="1" applyAlignment="1">
      <alignment horizontal="center"/>
    </xf>
    <xf numFmtId="2" fontId="9" fillId="2" borderId="51" xfId="0" applyNumberFormat="1" applyFont="1" applyFill="1" applyBorder="1" applyAlignment="1">
      <alignment horizontal="center"/>
    </xf>
    <xf numFmtId="1" fontId="9" fillId="2" borderId="7" xfId="0" applyNumberFormat="1" applyFont="1" applyFill="1" applyBorder="1" applyAlignment="1">
      <alignment horizontal="center"/>
    </xf>
    <xf numFmtId="2" fontId="9" fillId="2" borderId="52" xfId="0" applyNumberFormat="1" applyFont="1" applyFill="1" applyBorder="1" applyAlignment="1">
      <alignment horizontal="center"/>
    </xf>
    <xf numFmtId="2" fontId="9" fillId="2" borderId="7" xfId="0" applyNumberFormat="1" applyFont="1" applyFill="1" applyBorder="1" applyAlignment="1">
      <alignment horizontal="center"/>
    </xf>
    <xf numFmtId="2" fontId="16" fillId="3" borderId="8" xfId="0" applyNumberFormat="1" applyFont="1" applyFill="1" applyBorder="1" applyAlignment="1">
      <alignment horizontal="center"/>
    </xf>
    <xf numFmtId="2" fontId="16" fillId="3" borderId="9" xfId="0" applyNumberFormat="1" applyFont="1" applyFill="1" applyBorder="1" applyAlignment="1">
      <alignment horizontal="center"/>
    </xf>
    <xf numFmtId="2" fontId="16" fillId="3" borderId="45" xfId="0" applyNumberFormat="1" applyFont="1" applyFill="1" applyBorder="1" applyAlignment="1">
      <alignment horizontal="center"/>
    </xf>
    <xf numFmtId="1" fontId="9" fillId="0" borderId="34" xfId="0" applyNumberFormat="1" applyFont="1" applyFill="1" applyBorder="1" applyAlignment="1">
      <alignment horizontal="center"/>
    </xf>
    <xf numFmtId="2" fontId="16" fillId="3" borderId="24" xfId="0" applyNumberFormat="1" applyFont="1" applyFill="1" applyBorder="1" applyAlignment="1">
      <alignment horizontal="center" wrapText="1"/>
    </xf>
    <xf numFmtId="2" fontId="16" fillId="3" borderId="29" xfId="0" applyNumberFormat="1" applyFont="1" applyFill="1" applyBorder="1" applyAlignment="1">
      <alignment horizontal="center" wrapText="1"/>
    </xf>
    <xf numFmtId="2" fontId="16" fillId="3" borderId="25" xfId="0" applyNumberFormat="1" applyFont="1" applyFill="1" applyBorder="1" applyAlignment="1">
      <alignment horizontal="center"/>
    </xf>
    <xf numFmtId="2" fontId="16" fillId="3" borderId="29" xfId="0" applyNumberFormat="1" applyFont="1" applyFill="1" applyBorder="1" applyAlignment="1">
      <alignment horizontal="center"/>
    </xf>
    <xf numFmtId="2" fontId="16" fillId="3" borderId="23" xfId="0" applyNumberFormat="1" applyFont="1" applyFill="1" applyBorder="1" applyAlignment="1">
      <alignment horizontal="center"/>
    </xf>
    <xf numFmtId="2" fontId="16" fillId="3" borderId="24" xfId="0" applyNumberFormat="1" applyFont="1" applyFill="1" applyBorder="1" applyAlignment="1">
      <alignment horizontal="center"/>
    </xf>
    <xf numFmtId="2" fontId="16" fillId="3" borderId="53" xfId="0" applyNumberFormat="1" applyFont="1" applyFill="1" applyBorder="1" applyAlignment="1">
      <alignment horizontal="center"/>
    </xf>
    <xf numFmtId="2" fontId="16" fillId="3" borderId="54" xfId="0" applyNumberFormat="1" applyFont="1" applyFill="1" applyBorder="1" applyAlignment="1">
      <alignment horizontal="center"/>
    </xf>
    <xf numFmtId="2" fontId="16" fillId="3" borderId="10" xfId="0" applyNumberFormat="1" applyFont="1" applyFill="1" applyBorder="1" applyAlignment="1">
      <alignment horizontal="center"/>
    </xf>
    <xf numFmtId="2" fontId="16" fillId="3" borderId="44" xfId="0" applyNumberFormat="1" applyFont="1" applyFill="1" applyBorder="1" applyAlignment="1">
      <alignment horizontal="center"/>
    </xf>
    <xf numFmtId="2" fontId="16" fillId="2" borderId="55" xfId="0" applyNumberFormat="1" applyFont="1" applyFill="1" applyBorder="1" applyAlignment="1" applyProtection="1">
      <alignment horizontal="center"/>
    </xf>
    <xf numFmtId="4" fontId="9" fillId="0" borderId="56" xfId="0" applyNumberFormat="1" applyFont="1" applyBorder="1" applyAlignment="1">
      <alignment horizontal="center"/>
    </xf>
    <xf numFmtId="4" fontId="9" fillId="0" borderId="36" xfId="0" applyNumberFormat="1" applyFont="1" applyBorder="1" applyAlignment="1">
      <alignment horizontal="center"/>
    </xf>
    <xf numFmtId="1" fontId="9" fillId="2" borderId="11" xfId="0" applyNumberFormat="1" applyFont="1" applyFill="1" applyBorder="1" applyAlignment="1">
      <alignment horizontal="center"/>
    </xf>
    <xf numFmtId="1" fontId="9" fillId="2" borderId="16" xfId="0" applyNumberFormat="1" applyFont="1" applyFill="1" applyBorder="1" applyAlignment="1">
      <alignment horizontal="center"/>
    </xf>
    <xf numFmtId="4" fontId="9" fillId="0" borderId="57" xfId="0" applyNumberFormat="1" applyFont="1" applyBorder="1" applyAlignment="1">
      <alignment horizontal="center"/>
    </xf>
    <xf numFmtId="4" fontId="9" fillId="0" borderId="33" xfId="0" applyNumberFormat="1" applyFont="1" applyBorder="1" applyAlignment="1">
      <alignment horizontal="center"/>
    </xf>
    <xf numFmtId="4" fontId="9" fillId="0" borderId="0" xfId="0" applyNumberFormat="1" applyFont="1" applyBorder="1" applyAlignment="1">
      <alignment horizontal="center"/>
    </xf>
    <xf numFmtId="1" fontId="13" fillId="0" borderId="0" xfId="0" applyNumberFormat="1" applyFont="1" applyBorder="1" applyAlignment="1">
      <alignment horizontal="right" vertical="top" wrapText="1" readingOrder="2"/>
    </xf>
    <xf numFmtId="0" fontId="9" fillId="2" borderId="30" xfId="0" applyFont="1" applyFill="1" applyBorder="1" applyAlignment="1">
      <alignment horizontal="center"/>
    </xf>
    <xf numFmtId="0" fontId="9" fillId="2" borderId="41" xfId="0" applyFont="1" applyFill="1" applyBorder="1" applyAlignment="1">
      <alignment horizontal="center" wrapText="1"/>
    </xf>
    <xf numFmtId="0" fontId="9" fillId="0" borderId="0" xfId="0" applyFont="1" applyBorder="1"/>
    <xf numFmtId="0" fontId="12" fillId="0" borderId="0" xfId="0" applyFont="1" applyAlignment="1">
      <alignment horizontal="right"/>
    </xf>
    <xf numFmtId="0" fontId="9" fillId="0" borderId="0" xfId="0" applyFont="1" applyAlignment="1">
      <alignment horizontal="center"/>
    </xf>
    <xf numFmtId="0" fontId="17" fillId="6" borderId="10" xfId="0" applyFont="1" applyFill="1" applyBorder="1" applyAlignment="1">
      <alignment horizontal="center"/>
    </xf>
    <xf numFmtId="0" fontId="9" fillId="2" borderId="58" xfId="0" applyFont="1" applyFill="1" applyBorder="1" applyAlignment="1">
      <alignment horizontal="center" wrapText="1"/>
    </xf>
    <xf numFmtId="3" fontId="9" fillId="0" borderId="32" xfId="0" applyNumberFormat="1" applyFont="1" applyBorder="1" applyAlignment="1">
      <alignment horizontal="center"/>
    </xf>
    <xf numFmtId="3" fontId="9" fillId="0" borderId="31" xfId="0" applyNumberFormat="1" applyFont="1" applyBorder="1" applyAlignment="1">
      <alignment horizontal="center"/>
    </xf>
    <xf numFmtId="3" fontId="9" fillId="0" borderId="33" xfId="0" applyNumberFormat="1" applyFont="1" applyBorder="1" applyAlignment="1">
      <alignment horizontal="center"/>
    </xf>
    <xf numFmtId="3" fontId="9" fillId="0" borderId="50" xfId="0" applyNumberFormat="1" applyFont="1" applyBorder="1" applyAlignment="1">
      <alignment horizontal="center"/>
    </xf>
    <xf numFmtId="3" fontId="9" fillId="0" borderId="48" xfId="0" applyNumberFormat="1" applyFont="1" applyBorder="1" applyAlignment="1">
      <alignment horizontal="center"/>
    </xf>
    <xf numFmtId="3" fontId="9" fillId="5" borderId="11" xfId="0" applyNumberFormat="1" applyFont="1" applyFill="1" applyBorder="1" applyAlignment="1">
      <alignment horizontal="center"/>
    </xf>
    <xf numFmtId="3" fontId="9" fillId="5" borderId="21" xfId="0" applyNumberFormat="1" applyFont="1" applyFill="1" applyBorder="1" applyAlignment="1">
      <alignment horizontal="center"/>
    </xf>
    <xf numFmtId="3" fontId="9" fillId="5" borderId="17" xfId="0" applyNumberFormat="1" applyFont="1" applyFill="1" applyBorder="1" applyAlignment="1">
      <alignment horizontal="center"/>
    </xf>
    <xf numFmtId="3" fontId="9" fillId="5" borderId="13" xfId="0" applyNumberFormat="1" applyFont="1" applyFill="1" applyBorder="1" applyAlignment="1">
      <alignment horizontal="center"/>
    </xf>
    <xf numFmtId="3" fontId="9" fillId="5" borderId="26" xfId="0" applyNumberFormat="1" applyFont="1" applyFill="1" applyBorder="1" applyAlignment="1">
      <alignment horizontal="center"/>
    </xf>
    <xf numFmtId="3" fontId="9" fillId="2" borderId="2" xfId="0" applyNumberFormat="1" applyFont="1" applyFill="1" applyBorder="1" applyAlignment="1">
      <alignment horizontal="center"/>
    </xf>
    <xf numFmtId="0" fontId="9" fillId="2" borderId="59" xfId="0" applyFont="1" applyFill="1" applyBorder="1" applyAlignment="1">
      <alignment horizontal="center"/>
    </xf>
    <xf numFmtId="0" fontId="9" fillId="2" borderId="44" xfId="0" applyFont="1" applyFill="1" applyBorder="1" applyAlignment="1">
      <alignment horizontal="center"/>
    </xf>
    <xf numFmtId="0" fontId="9" fillId="2" borderId="54" xfId="0" applyFont="1" applyFill="1" applyBorder="1" applyAlignment="1">
      <alignment horizontal="center"/>
    </xf>
    <xf numFmtId="0" fontId="9" fillId="2" borderId="53" xfId="0" applyFont="1" applyFill="1" applyBorder="1" applyAlignment="1">
      <alignment horizontal="center"/>
    </xf>
    <xf numFmtId="0" fontId="9" fillId="2" borderId="45" xfId="0" applyFont="1" applyFill="1" applyBorder="1" applyAlignment="1">
      <alignment horizontal="center"/>
    </xf>
    <xf numFmtId="0" fontId="9" fillId="2" borderId="60" xfId="0" applyFont="1" applyFill="1" applyBorder="1" applyAlignment="1">
      <alignment horizontal="center"/>
    </xf>
    <xf numFmtId="2" fontId="9" fillId="0" borderId="46" xfId="0" applyNumberFormat="1" applyFont="1" applyFill="1" applyBorder="1" applyAlignment="1">
      <alignment horizontal="center"/>
    </xf>
    <xf numFmtId="3" fontId="9" fillId="2" borderId="17" xfId="0" applyNumberFormat="1" applyFont="1" applyFill="1" applyBorder="1" applyAlignment="1">
      <alignment horizontal="center"/>
    </xf>
    <xf numFmtId="1" fontId="9" fillId="2" borderId="1" xfId="0" applyNumberFormat="1" applyFont="1" applyFill="1" applyBorder="1" applyAlignment="1">
      <alignment horizontal="center"/>
    </xf>
    <xf numFmtId="0" fontId="9" fillId="2" borderId="4" xfId="0" applyFont="1" applyFill="1" applyBorder="1" applyAlignment="1">
      <alignment horizontal="center"/>
    </xf>
    <xf numFmtId="0" fontId="9" fillId="2" borderId="3" xfId="0" applyFont="1" applyFill="1" applyBorder="1" applyAlignment="1">
      <alignment horizontal="center"/>
    </xf>
    <xf numFmtId="0" fontId="9" fillId="2" borderId="2" xfId="0" applyFont="1" applyFill="1" applyBorder="1" applyAlignment="1">
      <alignment horizontal="center"/>
    </xf>
    <xf numFmtId="1" fontId="9" fillId="2" borderId="3" xfId="0" applyNumberFormat="1" applyFont="1" applyFill="1" applyBorder="1" applyAlignment="1">
      <alignment horizontal="center"/>
    </xf>
    <xf numFmtId="1" fontId="9" fillId="2" borderId="6" xfId="0" applyNumberFormat="1" applyFont="1" applyFill="1" applyBorder="1" applyAlignment="1">
      <alignment horizontal="center"/>
    </xf>
    <xf numFmtId="0" fontId="9" fillId="2" borderId="37" xfId="0" applyFont="1" applyFill="1" applyBorder="1" applyAlignment="1">
      <alignment horizontal="center"/>
    </xf>
    <xf numFmtId="0" fontId="9" fillId="2" borderId="39" xfId="0" applyFont="1" applyFill="1" applyBorder="1" applyAlignment="1">
      <alignment horizontal="center"/>
    </xf>
    <xf numFmtId="0" fontId="9" fillId="2" borderId="7" xfId="0" applyFont="1" applyFill="1" applyBorder="1" applyAlignment="1">
      <alignment horizontal="center"/>
    </xf>
    <xf numFmtId="1" fontId="9" fillId="2" borderId="39" xfId="0" applyNumberFormat="1" applyFont="1" applyFill="1" applyBorder="1" applyAlignment="1">
      <alignment horizontal="center"/>
    </xf>
    <xf numFmtId="0" fontId="9" fillId="2" borderId="57" xfId="0" applyFont="1" applyFill="1" applyBorder="1" applyAlignment="1">
      <alignment horizontal="center" wrapText="1"/>
    </xf>
    <xf numFmtId="0" fontId="9" fillId="2" borderId="46" xfId="0" applyFont="1" applyFill="1" applyBorder="1" applyAlignment="1">
      <alignment horizontal="center" wrapText="1"/>
    </xf>
    <xf numFmtId="0" fontId="9" fillId="2" borderId="57" xfId="0" applyFont="1" applyFill="1" applyBorder="1" applyAlignment="1">
      <alignment horizontal="center"/>
    </xf>
    <xf numFmtId="2" fontId="9" fillId="2" borderId="57" xfId="0" applyNumberFormat="1" applyFont="1" applyFill="1" applyBorder="1" applyAlignment="1">
      <alignment horizontal="center" wrapText="1"/>
    </xf>
    <xf numFmtId="2" fontId="9" fillId="2" borderId="29" xfId="0" applyNumberFormat="1" applyFont="1" applyFill="1" applyBorder="1" applyAlignment="1">
      <alignment horizontal="center"/>
    </xf>
    <xf numFmtId="3" fontId="9" fillId="0" borderId="56" xfId="0" applyNumberFormat="1" applyFont="1" applyBorder="1" applyAlignment="1">
      <alignment horizontal="center"/>
    </xf>
    <xf numFmtId="3" fontId="9" fillId="0" borderId="46" xfId="0" applyNumberFormat="1" applyFont="1" applyBorder="1" applyAlignment="1">
      <alignment horizontal="center"/>
    </xf>
    <xf numFmtId="3" fontId="9" fillId="0" borderId="57" xfId="0" applyNumberFormat="1" applyFont="1" applyBorder="1" applyAlignment="1">
      <alignment horizontal="center"/>
    </xf>
    <xf numFmtId="9" fontId="9" fillId="0" borderId="33" xfId="41" applyFont="1" applyBorder="1" applyAlignment="1">
      <alignment horizontal="center"/>
    </xf>
    <xf numFmtId="9" fontId="9" fillId="2" borderId="12" xfId="41" applyFont="1" applyFill="1" applyBorder="1" applyAlignment="1">
      <alignment horizontal="center"/>
    </xf>
    <xf numFmtId="1" fontId="9" fillId="2" borderId="14" xfId="0" applyNumberFormat="1" applyFont="1" applyFill="1" applyBorder="1" applyAlignment="1">
      <alignment horizontal="center"/>
    </xf>
    <xf numFmtId="9" fontId="9" fillId="2" borderId="4" xfId="41" applyFont="1" applyFill="1" applyBorder="1" applyAlignment="1">
      <alignment horizontal="center"/>
    </xf>
    <xf numFmtId="2" fontId="9" fillId="2" borderId="5" xfId="0" applyNumberFormat="1" applyFont="1" applyFill="1" applyBorder="1" applyAlignment="1">
      <alignment horizontal="center"/>
    </xf>
    <xf numFmtId="9" fontId="9" fillId="2" borderId="37" xfId="41" applyFont="1" applyFill="1" applyBorder="1" applyAlignment="1">
      <alignment horizontal="center"/>
    </xf>
    <xf numFmtId="2" fontId="9" fillId="2" borderId="40" xfId="0" applyNumberFormat="1" applyFont="1" applyFill="1" applyBorder="1" applyAlignment="1">
      <alignment horizontal="center"/>
    </xf>
    <xf numFmtId="3" fontId="9" fillId="0" borderId="0" xfId="0" applyNumberFormat="1" applyFont="1"/>
    <xf numFmtId="9" fontId="9" fillId="0" borderId="0" xfId="41" applyFont="1"/>
    <xf numFmtId="0" fontId="18" fillId="6" borderId="41" xfId="0" applyFont="1" applyFill="1" applyBorder="1" applyAlignment="1">
      <alignment horizontal="center" wrapText="1"/>
    </xf>
    <xf numFmtId="0" fontId="9" fillId="0" borderId="0" xfId="0" applyFont="1" applyAlignment="1">
      <alignment wrapText="1"/>
    </xf>
    <xf numFmtId="168" fontId="9" fillId="2" borderId="10" xfId="0" applyNumberFormat="1" applyFont="1" applyFill="1" applyBorder="1" applyAlignment="1">
      <alignment horizontal="center" wrapText="1"/>
    </xf>
    <xf numFmtId="10" fontId="9" fillId="0" borderId="32" xfId="41" quotePrefix="1" applyNumberFormat="1" applyFont="1" applyBorder="1" applyAlignment="1">
      <alignment horizontal="center"/>
    </xf>
    <xf numFmtId="10" fontId="9" fillId="0" borderId="0" xfId="41" quotePrefix="1" applyNumberFormat="1" applyFont="1" applyBorder="1" applyAlignment="1">
      <alignment horizontal="center"/>
    </xf>
    <xf numFmtId="10" fontId="9" fillId="0" borderId="50" xfId="41" applyNumberFormat="1" applyFont="1" applyBorder="1" applyAlignment="1">
      <alignment horizontal="center"/>
    </xf>
    <xf numFmtId="10" fontId="9" fillId="0" borderId="0" xfId="41" applyNumberFormat="1" applyFont="1" applyBorder="1" applyAlignment="1">
      <alignment horizontal="center"/>
    </xf>
    <xf numFmtId="1" fontId="9" fillId="0" borderId="34" xfId="0" applyNumberFormat="1" applyFont="1" applyBorder="1" applyAlignment="1">
      <alignment horizontal="center"/>
    </xf>
    <xf numFmtId="10" fontId="9" fillId="0" borderId="32" xfId="41" applyNumberFormat="1" applyFont="1" applyBorder="1" applyAlignment="1">
      <alignment horizontal="center"/>
    </xf>
    <xf numFmtId="10" fontId="9" fillId="2" borderId="11" xfId="41" applyNumberFormat="1" applyFont="1" applyFill="1" applyBorder="1" applyAlignment="1">
      <alignment horizontal="center"/>
    </xf>
    <xf numFmtId="10" fontId="9" fillId="2" borderId="13" xfId="41" applyNumberFormat="1" applyFont="1" applyFill="1" applyBorder="1" applyAlignment="1">
      <alignment horizontal="center"/>
    </xf>
    <xf numFmtId="10" fontId="9" fillId="2" borderId="12" xfId="41" applyNumberFormat="1" applyFont="1" applyFill="1" applyBorder="1" applyAlignment="1">
      <alignment horizontal="center"/>
    </xf>
    <xf numFmtId="10" fontId="9" fillId="2" borderId="15" xfId="41" applyNumberFormat="1" applyFont="1" applyFill="1" applyBorder="1" applyAlignment="1">
      <alignment horizontal="center"/>
    </xf>
    <xf numFmtId="1" fontId="9" fillId="2" borderId="5" xfId="0" applyNumberFormat="1" applyFont="1" applyFill="1" applyBorder="1" applyAlignment="1">
      <alignment horizontal="center"/>
    </xf>
    <xf numFmtId="10" fontId="9" fillId="2" borderId="1" xfId="41" applyNumberFormat="1" applyFont="1" applyFill="1" applyBorder="1" applyAlignment="1">
      <alignment horizontal="center"/>
    </xf>
    <xf numFmtId="10" fontId="9" fillId="2" borderId="3" xfId="41" applyNumberFormat="1" applyFont="1" applyFill="1" applyBorder="1" applyAlignment="1">
      <alignment horizontal="center"/>
    </xf>
    <xf numFmtId="10" fontId="9" fillId="2" borderId="4" xfId="41" applyNumberFormat="1" applyFont="1" applyFill="1" applyBorder="1" applyAlignment="1">
      <alignment horizontal="center"/>
    </xf>
    <xf numFmtId="10" fontId="9" fillId="2" borderId="19" xfId="41" applyNumberFormat="1" applyFont="1" applyFill="1" applyBorder="1" applyAlignment="1">
      <alignment horizontal="center"/>
    </xf>
    <xf numFmtId="2" fontId="9" fillId="2" borderId="3" xfId="0" applyNumberFormat="1" applyFont="1" applyFill="1" applyBorder="1" applyAlignment="1">
      <alignment horizontal="center"/>
    </xf>
    <xf numFmtId="1" fontId="9" fillId="2" borderId="40" xfId="0" applyNumberFormat="1" applyFont="1" applyFill="1" applyBorder="1" applyAlignment="1">
      <alignment horizontal="center"/>
    </xf>
    <xf numFmtId="10" fontId="9" fillId="2" borderId="6" xfId="41" applyNumberFormat="1" applyFont="1" applyFill="1" applyBorder="1" applyAlignment="1">
      <alignment horizontal="center"/>
    </xf>
    <xf numFmtId="10" fontId="9" fillId="2" borderId="39" xfId="41" applyNumberFormat="1" applyFont="1" applyFill="1" applyBorder="1" applyAlignment="1">
      <alignment horizontal="center"/>
    </xf>
    <xf numFmtId="10" fontId="9" fillId="2" borderId="37" xfId="41" applyNumberFormat="1" applyFont="1" applyFill="1" applyBorder="1" applyAlignment="1">
      <alignment horizontal="center"/>
    </xf>
    <xf numFmtId="10" fontId="9" fillId="2" borderId="51" xfId="41" applyNumberFormat="1" applyFont="1" applyFill="1" applyBorder="1" applyAlignment="1">
      <alignment horizontal="center"/>
    </xf>
    <xf numFmtId="2" fontId="9" fillId="2" borderId="39" xfId="0" applyNumberFormat="1" applyFont="1" applyFill="1" applyBorder="1" applyAlignment="1">
      <alignment horizontal="center"/>
    </xf>
    <xf numFmtId="168" fontId="9" fillId="0" borderId="0" xfId="0" applyNumberFormat="1" applyFont="1"/>
    <xf numFmtId="2" fontId="16" fillId="6" borderId="58" xfId="0" applyNumberFormat="1" applyFont="1" applyFill="1" applyBorder="1" applyAlignment="1">
      <alignment horizontal="center"/>
    </xf>
    <xf numFmtId="2" fontId="16" fillId="6" borderId="61" xfId="0" applyNumberFormat="1" applyFont="1" applyFill="1" applyBorder="1" applyAlignment="1">
      <alignment horizontal="center"/>
    </xf>
    <xf numFmtId="1" fontId="16" fillId="5" borderId="18" xfId="0" applyNumberFormat="1" applyFont="1" applyFill="1" applyBorder="1" applyAlignment="1">
      <alignment horizontal="center"/>
    </xf>
    <xf numFmtId="1" fontId="16" fillId="0" borderId="0" xfId="0" applyNumberFormat="1" applyFont="1" applyFill="1" applyBorder="1" applyAlignment="1"/>
    <xf numFmtId="2" fontId="16" fillId="0" borderId="0" xfId="0" applyNumberFormat="1" applyFont="1" applyProtection="1"/>
    <xf numFmtId="1" fontId="16" fillId="0" borderId="0" xfId="0" applyNumberFormat="1" applyFont="1"/>
    <xf numFmtId="1" fontId="16" fillId="0" borderId="0" xfId="0" applyNumberFormat="1" applyFont="1" applyAlignment="1">
      <alignment horizontal="center"/>
    </xf>
    <xf numFmtId="0" fontId="9" fillId="0" borderId="0" xfId="0" applyFont="1" applyFill="1" applyBorder="1"/>
    <xf numFmtId="0" fontId="17" fillId="6" borderId="10" xfId="0" applyFont="1" applyFill="1" applyBorder="1" applyAlignment="1" applyProtection="1">
      <alignment horizontal="center"/>
    </xf>
    <xf numFmtId="0" fontId="17" fillId="6" borderId="9" xfId="0" applyFont="1" applyFill="1" applyBorder="1" applyAlignment="1" applyProtection="1">
      <alignment horizontal="center"/>
    </xf>
    <xf numFmtId="0" fontId="9" fillId="2" borderId="32" xfId="0" applyFont="1" applyFill="1" applyBorder="1" applyAlignment="1">
      <alignment horizontal="center"/>
    </xf>
    <xf numFmtId="0" fontId="9" fillId="2" borderId="47" xfId="0" applyFont="1" applyFill="1" applyBorder="1" applyAlignment="1">
      <alignment horizontal="center"/>
    </xf>
    <xf numFmtId="0" fontId="9" fillId="2" borderId="46" xfId="0" applyFont="1" applyFill="1" applyBorder="1" applyAlignment="1">
      <alignment horizontal="center"/>
    </xf>
    <xf numFmtId="0" fontId="9" fillId="2" borderId="61" xfId="0" applyFont="1" applyFill="1" applyBorder="1" applyAlignment="1">
      <alignment horizontal="center" wrapText="1"/>
    </xf>
    <xf numFmtId="0" fontId="9" fillId="2" borderId="62" xfId="0" applyFont="1" applyFill="1" applyBorder="1" applyAlignment="1" applyProtection="1">
      <alignment horizontal="center"/>
    </xf>
    <xf numFmtId="173" fontId="9" fillId="0" borderId="0" xfId="0" applyNumberFormat="1" applyFont="1" applyAlignment="1">
      <alignment horizontal="center"/>
    </xf>
    <xf numFmtId="173" fontId="9" fillId="0" borderId="46" xfId="0" applyNumberFormat="1" applyFont="1" applyBorder="1" applyAlignment="1">
      <alignment horizontal="center"/>
    </xf>
    <xf numFmtId="165" fontId="9" fillId="0" borderId="41" xfId="0" applyNumberFormat="1" applyFont="1" applyFill="1" applyBorder="1" applyAlignment="1" applyProtection="1">
      <alignment horizontal="center"/>
      <protection locked="0"/>
    </xf>
    <xf numFmtId="165" fontId="9" fillId="0" borderId="36" xfId="0" applyNumberFormat="1" applyFont="1" applyFill="1" applyBorder="1" applyAlignment="1" applyProtection="1">
      <alignment horizontal="center"/>
      <protection locked="0"/>
    </xf>
    <xf numFmtId="3" fontId="9" fillId="0" borderId="0" xfId="0" applyNumberFormat="1" applyFont="1" applyAlignment="1">
      <alignment horizontal="center"/>
    </xf>
    <xf numFmtId="165" fontId="9" fillId="0" borderId="31" xfId="0" applyNumberFormat="1" applyFont="1" applyFill="1" applyBorder="1" applyAlignment="1" applyProtection="1">
      <alignment horizontal="center"/>
      <protection locked="0"/>
    </xf>
    <xf numFmtId="165" fontId="9" fillId="0" borderId="34" xfId="0" applyNumberFormat="1" applyFont="1" applyFill="1" applyBorder="1" applyAlignment="1" applyProtection="1">
      <alignment horizontal="center"/>
      <protection locked="0"/>
    </xf>
    <xf numFmtId="4" fontId="9" fillId="2" borderId="11" xfId="0" applyNumberFormat="1" applyFont="1" applyFill="1" applyBorder="1" applyAlignment="1">
      <alignment horizontal="center"/>
    </xf>
    <xf numFmtId="4" fontId="9" fillId="2" borderId="14" xfId="0" applyNumberFormat="1" applyFont="1" applyFill="1" applyBorder="1" applyAlignment="1">
      <alignment horizontal="center"/>
    </xf>
    <xf numFmtId="4" fontId="9" fillId="2" borderId="13" xfId="0" applyNumberFormat="1" applyFont="1" applyFill="1" applyBorder="1" applyAlignment="1">
      <alignment horizontal="center"/>
    </xf>
    <xf numFmtId="4" fontId="9" fillId="2" borderId="12" xfId="0" applyNumberFormat="1" applyFont="1" applyFill="1" applyBorder="1" applyAlignment="1">
      <alignment horizontal="center"/>
    </xf>
    <xf numFmtId="165" fontId="9" fillId="2" borderId="17" xfId="0" applyNumberFormat="1" applyFont="1" applyFill="1" applyBorder="1" applyAlignment="1" applyProtection="1">
      <alignment horizontal="center"/>
    </xf>
    <xf numFmtId="4" fontId="9" fillId="2" borderId="5" xfId="0" applyNumberFormat="1" applyFont="1" applyFill="1" applyBorder="1" applyAlignment="1">
      <alignment horizontal="center"/>
    </xf>
    <xf numFmtId="169" fontId="9" fillId="2" borderId="4" xfId="0" applyNumberFormat="1" applyFont="1" applyFill="1" applyBorder="1" applyAlignment="1">
      <alignment horizontal="center"/>
    </xf>
    <xf numFmtId="165" fontId="9" fillId="2" borderId="2" xfId="0" applyNumberFormat="1" applyFont="1" applyFill="1" applyBorder="1" applyAlignment="1" applyProtection="1">
      <alignment horizontal="center"/>
    </xf>
    <xf numFmtId="165" fontId="9" fillId="2" borderId="7" xfId="0" applyNumberFormat="1" applyFont="1" applyFill="1" applyBorder="1" applyAlignment="1" applyProtection="1">
      <alignment horizontal="center"/>
    </xf>
    <xf numFmtId="0" fontId="9" fillId="0" borderId="0" xfId="0" applyFont="1" applyProtection="1"/>
    <xf numFmtId="168" fontId="9" fillId="2" borderId="17" xfId="0" applyNumberFormat="1" applyFont="1" applyFill="1" applyBorder="1" applyAlignment="1">
      <alignment horizontal="center"/>
    </xf>
    <xf numFmtId="2" fontId="6" fillId="0" borderId="0" xfId="0" applyNumberFormat="1" applyFont="1"/>
    <xf numFmtId="2" fontId="6" fillId="0" borderId="0" xfId="0" applyNumberFormat="1" applyFont="1" applyAlignment="1">
      <alignment horizontal="center"/>
    </xf>
    <xf numFmtId="0" fontId="16" fillId="0" borderId="0" xfId="0" applyNumberFormat="1" applyFont="1" applyBorder="1" applyAlignment="1" applyProtection="1">
      <alignment horizontal="center"/>
    </xf>
    <xf numFmtId="2" fontId="6" fillId="0" borderId="0" xfId="0" applyNumberFormat="1" applyFont="1" applyProtection="1"/>
    <xf numFmtId="0" fontId="16" fillId="0" borderId="18" xfId="0" applyNumberFormat="1" applyFont="1" applyBorder="1" applyAlignment="1" applyProtection="1">
      <alignment horizontal="center"/>
    </xf>
    <xf numFmtId="2" fontId="16" fillId="2" borderId="17" xfId="0" applyNumberFormat="1" applyFont="1" applyFill="1" applyBorder="1" applyAlignment="1">
      <alignment horizontal="center"/>
    </xf>
    <xf numFmtId="2" fontId="16" fillId="2" borderId="2" xfId="0" applyNumberFormat="1" applyFont="1" applyFill="1" applyBorder="1" applyAlignment="1">
      <alignment horizontal="center"/>
    </xf>
    <xf numFmtId="2" fontId="16" fillId="2" borderId="20" xfId="0" applyNumberFormat="1" applyFont="1" applyFill="1" applyBorder="1" applyAlignment="1" applyProtection="1">
      <alignment horizontal="center"/>
    </xf>
    <xf numFmtId="2" fontId="16" fillId="2" borderId="7" xfId="0" applyNumberFormat="1" applyFont="1" applyFill="1" applyBorder="1" applyAlignment="1">
      <alignment horizontal="center"/>
    </xf>
    <xf numFmtId="0" fontId="10" fillId="0" borderId="0" xfId="0" applyFont="1" applyAlignment="1">
      <alignment horizontal="right"/>
    </xf>
    <xf numFmtId="2" fontId="16" fillId="3" borderId="59" xfId="0" applyNumberFormat="1" applyFont="1" applyFill="1" applyBorder="1" applyAlignment="1">
      <alignment horizontal="center"/>
    </xf>
    <xf numFmtId="2" fontId="16" fillId="3" borderId="63" xfId="0" applyNumberFormat="1" applyFont="1" applyFill="1" applyBorder="1" applyAlignment="1">
      <alignment horizontal="center"/>
    </xf>
    <xf numFmtId="1" fontId="16" fillId="0" borderId="0" xfId="0" applyNumberFormat="1" applyFont="1" applyBorder="1" applyAlignment="1">
      <alignment horizontal="center"/>
    </xf>
    <xf numFmtId="2" fontId="16" fillId="4" borderId="30" xfId="0" applyNumberFormat="1" applyFont="1" applyFill="1" applyBorder="1" applyAlignment="1">
      <alignment horizontal="center" wrapText="1"/>
    </xf>
    <xf numFmtId="171" fontId="16" fillId="0" borderId="34" xfId="0" applyNumberFormat="1" applyFont="1" applyBorder="1" applyAlignment="1">
      <alignment horizontal="center"/>
    </xf>
    <xf numFmtId="171" fontId="16" fillId="0" borderId="20" xfId="0" applyNumberFormat="1" applyFont="1" applyBorder="1" applyAlignment="1">
      <alignment horizontal="center"/>
    </xf>
    <xf numFmtId="2" fontId="16" fillId="6" borderId="8" xfId="0" applyNumberFormat="1" applyFont="1" applyFill="1" applyBorder="1" applyAlignment="1">
      <alignment horizontal="center"/>
    </xf>
    <xf numFmtId="2" fontId="16" fillId="4" borderId="25" xfId="0" applyNumberFormat="1" applyFont="1" applyFill="1" applyBorder="1" applyAlignment="1">
      <alignment horizontal="center" wrapText="1" shrinkToFit="1"/>
    </xf>
    <xf numFmtId="0" fontId="9" fillId="2" borderId="31" xfId="0" applyFont="1" applyFill="1" applyBorder="1" applyAlignment="1" applyProtection="1">
      <alignment horizontal="center"/>
    </xf>
    <xf numFmtId="0" fontId="9" fillId="2" borderId="10" xfId="0" applyFont="1" applyFill="1" applyBorder="1" applyAlignment="1" applyProtection="1">
      <alignment horizontal="center"/>
    </xf>
    <xf numFmtId="2" fontId="9" fillId="2" borderId="13" xfId="0" applyNumberFormat="1" applyFont="1" applyFill="1" applyBorder="1" applyAlignment="1">
      <alignment horizontal="center"/>
    </xf>
    <xf numFmtId="1" fontId="16" fillId="5" borderId="55" xfId="0" applyNumberFormat="1" applyFont="1" applyFill="1" applyBorder="1" applyAlignment="1">
      <alignment horizontal="center"/>
    </xf>
    <xf numFmtId="169" fontId="9" fillId="5" borderId="4" xfId="0" applyNumberFormat="1" applyFont="1" applyFill="1" applyBorder="1" applyAlignment="1">
      <alignment horizontal="center"/>
    </xf>
    <xf numFmtId="2" fontId="16" fillId="4" borderId="41" xfId="0" applyNumberFormat="1" applyFont="1" applyFill="1" applyBorder="1" applyAlignment="1">
      <alignment horizontal="center" wrapText="1"/>
    </xf>
    <xf numFmtId="1" fontId="16" fillId="5" borderId="64" xfId="0" applyNumberFormat="1" applyFont="1" applyFill="1" applyBorder="1" applyAlignment="1">
      <alignment horizontal="center"/>
    </xf>
    <xf numFmtId="0" fontId="2" fillId="0" borderId="0" xfId="0" applyFont="1" applyAlignment="1">
      <alignment horizontal="right"/>
    </xf>
    <xf numFmtId="2" fontId="16" fillId="4" borderId="36" xfId="0" applyNumberFormat="1" applyFont="1" applyFill="1" applyBorder="1" applyAlignment="1">
      <alignment horizontal="center"/>
    </xf>
    <xf numFmtId="2" fontId="16" fillId="2" borderId="67" xfId="0" applyNumberFormat="1" applyFont="1" applyFill="1" applyBorder="1" applyAlignment="1">
      <alignment horizontal="center"/>
    </xf>
    <xf numFmtId="2" fontId="16" fillId="2" borderId="68" xfId="0" applyNumberFormat="1" applyFont="1" applyFill="1" applyBorder="1" applyAlignment="1">
      <alignment horizontal="center"/>
    </xf>
    <xf numFmtId="2" fontId="16" fillId="4" borderId="57" xfId="0" applyNumberFormat="1" applyFont="1" applyFill="1" applyBorder="1" applyAlignment="1">
      <alignment horizontal="center"/>
    </xf>
    <xf numFmtId="2" fontId="16" fillId="5" borderId="2" xfId="0" applyNumberFormat="1" applyFont="1" applyFill="1" applyBorder="1" applyAlignment="1" applyProtection="1">
      <alignment horizontal="center"/>
    </xf>
    <xf numFmtId="2" fontId="16" fillId="5" borderId="7" xfId="0" applyNumberFormat="1" applyFont="1" applyFill="1" applyBorder="1" applyAlignment="1" applyProtection="1">
      <alignment horizontal="center"/>
    </xf>
    <xf numFmtId="2" fontId="16" fillId="2" borderId="69" xfId="0" applyNumberFormat="1" applyFont="1" applyFill="1" applyBorder="1" applyAlignment="1" applyProtection="1">
      <alignment horizontal="center"/>
    </xf>
    <xf numFmtId="0" fontId="4" fillId="0" borderId="0" xfId="0" applyFont="1" applyAlignment="1">
      <alignment horizontal="right"/>
    </xf>
    <xf numFmtId="0" fontId="37" fillId="0" borderId="0" xfId="0" applyFont="1" applyBorder="1" applyAlignment="1">
      <alignment readingOrder="2"/>
    </xf>
    <xf numFmtId="2" fontId="16" fillId="5" borderId="55" xfId="0" applyNumberFormat="1" applyFont="1" applyFill="1" applyBorder="1" applyAlignment="1" applyProtection="1">
      <alignment horizontal="center"/>
    </xf>
    <xf numFmtId="2" fontId="16" fillId="0" borderId="41" xfId="0" applyNumberFormat="1" applyFont="1" applyFill="1" applyBorder="1" applyAlignment="1">
      <alignment horizontal="center" wrapText="1"/>
    </xf>
    <xf numFmtId="2" fontId="16" fillId="0" borderId="36" xfId="0" applyNumberFormat="1" applyFont="1" applyBorder="1" applyAlignment="1">
      <alignment horizontal="center"/>
    </xf>
    <xf numFmtId="2" fontId="16" fillId="3" borderId="42" xfId="0" applyNumberFormat="1" applyFont="1" applyFill="1" applyBorder="1" applyAlignment="1">
      <alignment horizontal="center" wrapText="1"/>
    </xf>
    <xf numFmtId="2" fontId="16" fillId="3" borderId="61" xfId="0" applyNumberFormat="1" applyFont="1" applyFill="1" applyBorder="1" applyAlignment="1">
      <alignment horizontal="center" wrapText="1"/>
    </xf>
    <xf numFmtId="2" fontId="16" fillId="2" borderId="64" xfId="0" applyNumberFormat="1" applyFont="1" applyFill="1" applyBorder="1" applyAlignment="1">
      <alignment horizontal="center"/>
    </xf>
    <xf numFmtId="0" fontId="7" fillId="6" borderId="28" xfId="0" applyFont="1" applyFill="1" applyBorder="1" applyAlignment="1">
      <alignment horizontal="center"/>
    </xf>
    <xf numFmtId="172" fontId="16" fillId="5" borderId="2" xfId="28" applyNumberFormat="1" applyFont="1" applyFill="1" applyBorder="1" applyAlignment="1">
      <alignment horizontal="center"/>
    </xf>
    <xf numFmtId="172" fontId="16" fillId="2" borderId="2" xfId="28" applyNumberFormat="1" applyFont="1" applyFill="1" applyBorder="1" applyAlignment="1">
      <alignment horizontal="center"/>
    </xf>
    <xf numFmtId="172" fontId="16" fillId="2" borderId="7" xfId="28" applyNumberFormat="1" applyFont="1" applyFill="1" applyBorder="1" applyAlignment="1">
      <alignment horizontal="center"/>
    </xf>
    <xf numFmtId="172" fontId="16" fillId="2" borderId="17" xfId="28" applyNumberFormat="1" applyFont="1" applyFill="1" applyBorder="1" applyAlignment="1" applyProtection="1">
      <alignment horizontal="center"/>
    </xf>
    <xf numFmtId="17" fontId="16" fillId="0" borderId="17" xfId="0" applyNumberFormat="1" applyFont="1" applyBorder="1" applyAlignment="1">
      <alignment horizontal="center"/>
    </xf>
    <xf numFmtId="3" fontId="2" fillId="5" borderId="27" xfId="0" applyNumberFormat="1" applyFont="1" applyFill="1" applyBorder="1" applyAlignment="1">
      <alignment horizontal="center"/>
    </xf>
    <xf numFmtId="3" fontId="2" fillId="2" borderId="27" xfId="0" applyNumberFormat="1" applyFont="1" applyFill="1" applyBorder="1" applyAlignment="1">
      <alignment horizontal="center"/>
    </xf>
    <xf numFmtId="3" fontId="2" fillId="2" borderId="52" xfId="0" applyNumberFormat="1" applyFont="1" applyFill="1" applyBorder="1" applyAlignment="1">
      <alignment horizontal="center"/>
    </xf>
    <xf numFmtId="3" fontId="2" fillId="5" borderId="2" xfId="0" applyNumberFormat="1" applyFont="1" applyFill="1" applyBorder="1" applyAlignment="1">
      <alignment horizontal="center"/>
    </xf>
    <xf numFmtId="3" fontId="2" fillId="2" borderId="2" xfId="0" applyNumberFormat="1" applyFont="1" applyFill="1" applyBorder="1" applyAlignment="1">
      <alignment horizontal="center"/>
    </xf>
    <xf numFmtId="3" fontId="2" fillId="2" borderId="7" xfId="0" applyNumberFormat="1" applyFont="1" applyFill="1" applyBorder="1" applyAlignment="1">
      <alignment horizontal="center"/>
    </xf>
    <xf numFmtId="170" fontId="9" fillId="0" borderId="31" xfId="0" applyNumberFormat="1" applyFont="1" applyBorder="1" applyAlignment="1">
      <alignment horizontal="center"/>
    </xf>
    <xf numFmtId="0" fontId="7" fillId="2" borderId="30" xfId="0" applyFont="1" applyFill="1" applyBorder="1" applyAlignment="1">
      <alignment horizontal="center" wrapText="1"/>
    </xf>
    <xf numFmtId="0" fontId="7" fillId="6" borderId="41" xfId="0" applyFont="1" applyFill="1" applyBorder="1" applyAlignment="1">
      <alignment horizontal="center" wrapText="1"/>
    </xf>
    <xf numFmtId="165" fontId="9" fillId="0" borderId="46" xfId="0" applyNumberFormat="1" applyFont="1" applyFill="1" applyBorder="1" applyAlignment="1">
      <alignment horizontal="center"/>
    </xf>
    <xf numFmtId="165" fontId="9" fillId="0" borderId="50" xfId="0" applyNumberFormat="1" applyFont="1" applyFill="1" applyBorder="1" applyAlignment="1">
      <alignment horizontal="center"/>
    </xf>
    <xf numFmtId="0" fontId="17" fillId="6" borderId="28" xfId="0" applyFont="1" applyFill="1" applyBorder="1" applyAlignment="1"/>
    <xf numFmtId="3" fontId="9" fillId="2" borderId="17" xfId="41" applyNumberFormat="1" applyFont="1" applyFill="1" applyBorder="1" applyAlignment="1">
      <alignment horizontal="center"/>
    </xf>
    <xf numFmtId="3" fontId="9" fillId="2" borderId="2" xfId="41" applyNumberFormat="1" applyFont="1" applyFill="1" applyBorder="1" applyAlignment="1">
      <alignment horizontal="center"/>
    </xf>
    <xf numFmtId="3" fontId="9" fillId="2" borderId="7" xfId="41" applyNumberFormat="1" applyFont="1" applyFill="1" applyBorder="1" applyAlignment="1">
      <alignment horizontal="center"/>
    </xf>
    <xf numFmtId="0" fontId="9" fillId="5" borderId="11" xfId="0" applyFont="1" applyFill="1" applyBorder="1" applyAlignment="1" applyProtection="1"/>
    <xf numFmtId="0" fontId="9" fillId="5" borderId="1" xfId="0" applyFont="1" applyFill="1" applyBorder="1" applyAlignment="1" applyProtection="1"/>
    <xf numFmtId="0" fontId="9" fillId="5" borderId="6" xfId="0" applyFont="1" applyFill="1" applyBorder="1" applyAlignment="1" applyProtection="1"/>
    <xf numFmtId="0" fontId="17" fillId="6" borderId="61" xfId="0" applyFont="1" applyFill="1" applyBorder="1" applyAlignment="1"/>
    <xf numFmtId="2" fontId="9" fillId="0" borderId="31" xfId="28" applyNumberFormat="1" applyFont="1" applyBorder="1" applyAlignment="1">
      <alignment horizontal="center"/>
    </xf>
    <xf numFmtId="1" fontId="36" fillId="0" borderId="33" xfId="0" applyNumberFormat="1" applyFont="1" applyFill="1" applyBorder="1" applyAlignment="1">
      <alignment horizontal="center"/>
    </xf>
    <xf numFmtId="168" fontId="9" fillId="0" borderId="34" xfId="0" applyNumberFormat="1" applyFont="1" applyFill="1" applyBorder="1" applyAlignment="1">
      <alignment horizontal="center"/>
    </xf>
    <xf numFmtId="3" fontId="2" fillId="5" borderId="19" xfId="0" applyNumberFormat="1" applyFont="1" applyFill="1" applyBorder="1" applyAlignment="1">
      <alignment horizontal="center"/>
    </xf>
    <xf numFmtId="3" fontId="2" fillId="2" borderId="19" xfId="0" applyNumberFormat="1" applyFont="1" applyFill="1" applyBorder="1" applyAlignment="1">
      <alignment horizontal="center"/>
    </xf>
    <xf numFmtId="3" fontId="2" fillId="2" borderId="51" xfId="0" applyNumberFormat="1" applyFont="1" applyFill="1" applyBorder="1" applyAlignment="1">
      <alignment horizontal="center"/>
    </xf>
    <xf numFmtId="3" fontId="2" fillId="5" borderId="4" xfId="0" applyNumberFormat="1" applyFont="1" applyFill="1" applyBorder="1" applyAlignment="1">
      <alignment horizontal="center"/>
    </xf>
    <xf numFmtId="3" fontId="2" fillId="2" borderId="4" xfId="0" applyNumberFormat="1" applyFont="1" applyFill="1" applyBorder="1" applyAlignment="1">
      <alignment horizontal="center"/>
    </xf>
    <xf numFmtId="3" fontId="2" fillId="2" borderId="37" xfId="0" applyNumberFormat="1" applyFont="1" applyFill="1" applyBorder="1" applyAlignment="1">
      <alignment horizontal="center"/>
    </xf>
    <xf numFmtId="0" fontId="7" fillId="6" borderId="10" xfId="0" applyFont="1" applyFill="1" applyBorder="1" applyAlignment="1"/>
    <xf numFmtId="167" fontId="9" fillId="2" borderId="8" xfId="0" applyNumberFormat="1" applyFont="1" applyFill="1" applyBorder="1" applyAlignment="1">
      <alignment horizontal="center"/>
    </xf>
    <xf numFmtId="0" fontId="9" fillId="2" borderId="36" xfId="0" applyFont="1" applyFill="1" applyBorder="1" applyAlignment="1">
      <alignment horizontal="center"/>
    </xf>
    <xf numFmtId="0" fontId="9" fillId="2" borderId="30" xfId="0" applyFont="1" applyFill="1" applyBorder="1" applyAlignment="1">
      <alignment horizontal="center"/>
    </xf>
    <xf numFmtId="0" fontId="9" fillId="2" borderId="29" xfId="0" applyFont="1" applyFill="1" applyBorder="1" applyAlignment="1">
      <alignment horizontal="center"/>
    </xf>
    <xf numFmtId="1" fontId="1" fillId="0" borderId="34" xfId="0" applyNumberFormat="1" applyFont="1" applyFill="1" applyBorder="1" applyAlignment="1">
      <alignment horizontal="center"/>
    </xf>
    <xf numFmtId="165" fontId="9" fillId="0" borderId="50" xfId="0" applyNumberFormat="1" applyFont="1" applyBorder="1" applyAlignment="1">
      <alignment horizontal="center"/>
    </xf>
    <xf numFmtId="0" fontId="1" fillId="2" borderId="10" xfId="0" applyFont="1" applyFill="1" applyBorder="1" applyAlignment="1">
      <alignment horizontal="center" wrapText="1"/>
    </xf>
    <xf numFmtId="4" fontId="9" fillId="2" borderId="15" xfId="0" applyNumberFormat="1" applyFont="1" applyFill="1" applyBorder="1" applyAlignment="1">
      <alignment horizontal="center"/>
    </xf>
    <xf numFmtId="4" fontId="9" fillId="2" borderId="19" xfId="0" applyNumberFormat="1" applyFont="1" applyFill="1" applyBorder="1" applyAlignment="1">
      <alignment horizontal="center"/>
    </xf>
    <xf numFmtId="4" fontId="9" fillId="2" borderId="51" xfId="0" applyNumberFormat="1" applyFont="1" applyFill="1" applyBorder="1" applyAlignment="1">
      <alignment horizontal="center"/>
    </xf>
    <xf numFmtId="0" fontId="1" fillId="2" borderId="24" xfId="0" applyFont="1" applyFill="1" applyBorder="1" applyAlignment="1">
      <alignment horizontal="center"/>
    </xf>
    <xf numFmtId="9" fontId="9" fillId="0" borderId="35" xfId="41" applyFont="1" applyBorder="1" applyAlignment="1">
      <alignment horizontal="center"/>
    </xf>
    <xf numFmtId="9" fontId="9" fillId="2" borderId="19" xfId="41" applyFont="1" applyFill="1" applyBorder="1" applyAlignment="1">
      <alignment horizontal="center"/>
    </xf>
    <xf numFmtId="9" fontId="9" fillId="2" borderId="51" xfId="41" applyFont="1" applyFill="1" applyBorder="1" applyAlignment="1">
      <alignment horizontal="center"/>
    </xf>
    <xf numFmtId="0" fontId="1" fillId="2" borderId="9" xfId="0" applyFont="1" applyFill="1" applyBorder="1" applyAlignment="1">
      <alignment horizontal="center"/>
    </xf>
    <xf numFmtId="9" fontId="9" fillId="0" borderId="34" xfId="41" applyFont="1" applyBorder="1" applyAlignment="1">
      <alignment horizontal="center"/>
    </xf>
    <xf numFmtId="0" fontId="1" fillId="2" borderId="23" xfId="0" applyFont="1" applyFill="1" applyBorder="1" applyAlignment="1">
      <alignment horizontal="center"/>
    </xf>
    <xf numFmtId="0" fontId="9" fillId="2" borderId="9" xfId="0" applyFont="1" applyFill="1" applyBorder="1" applyAlignment="1"/>
    <xf numFmtId="169" fontId="9" fillId="0" borderId="0" xfId="0" applyNumberFormat="1" applyFont="1" applyBorder="1" applyAlignment="1">
      <alignment horizontal="center"/>
    </xf>
    <xf numFmtId="169" fontId="9" fillId="0" borderId="46" xfId="0" applyNumberFormat="1" applyFont="1" applyBorder="1" applyAlignment="1">
      <alignment horizontal="center"/>
    </xf>
    <xf numFmtId="169" fontId="9" fillId="0" borderId="50" xfId="0" applyNumberFormat="1" applyFont="1" applyBorder="1" applyAlignment="1">
      <alignment horizontal="center"/>
    </xf>
    <xf numFmtId="169" fontId="9" fillId="2" borderId="3" xfId="0" applyNumberFormat="1" applyFont="1" applyFill="1" applyBorder="1" applyAlignment="1">
      <alignment horizontal="center"/>
    </xf>
    <xf numFmtId="169" fontId="9" fillId="2" borderId="39" xfId="0" applyNumberFormat="1" applyFont="1" applyFill="1" applyBorder="1" applyAlignment="1">
      <alignment horizontal="center"/>
    </xf>
    <xf numFmtId="169" fontId="9" fillId="2" borderId="37" xfId="0" applyNumberFormat="1" applyFont="1" applyFill="1" applyBorder="1" applyAlignment="1">
      <alignment horizontal="center"/>
    </xf>
    <xf numFmtId="0" fontId="1" fillId="2" borderId="32" xfId="0" applyFont="1" applyFill="1" applyBorder="1" applyAlignment="1">
      <alignment horizontal="center" wrapText="1"/>
    </xf>
    <xf numFmtId="0" fontId="1" fillId="2" borderId="59" xfId="0" applyFont="1" applyFill="1" applyBorder="1" applyAlignment="1">
      <alignment horizontal="center" wrapText="1"/>
    </xf>
    <xf numFmtId="0" fontId="13" fillId="0" borderId="0" xfId="0" applyFont="1" applyBorder="1" applyAlignment="1"/>
    <xf numFmtId="168" fontId="9" fillId="2" borderId="2" xfId="0" applyNumberFormat="1" applyFont="1" applyFill="1" applyBorder="1" applyAlignment="1" applyProtection="1">
      <alignment horizontal="center"/>
    </xf>
    <xf numFmtId="168" fontId="9" fillId="2" borderId="7" xfId="0" applyNumberFormat="1" applyFont="1" applyFill="1" applyBorder="1" applyAlignment="1" applyProtection="1">
      <alignment horizontal="center"/>
    </xf>
    <xf numFmtId="174" fontId="9" fillId="2" borderId="3" xfId="41" applyNumberFormat="1" applyFont="1" applyFill="1" applyBorder="1" applyAlignment="1">
      <alignment horizontal="center"/>
    </xf>
    <xf numFmtId="174" fontId="9" fillId="2" borderId="39" xfId="41" applyNumberFormat="1" applyFont="1" applyFill="1" applyBorder="1" applyAlignment="1">
      <alignment horizontal="center"/>
    </xf>
    <xf numFmtId="174" fontId="9" fillId="2" borderId="19" xfId="41" applyNumberFormat="1" applyFont="1" applyFill="1" applyBorder="1" applyAlignment="1">
      <alignment horizontal="center"/>
    </xf>
    <xf numFmtId="174" fontId="9" fillId="2" borderId="51" xfId="41" applyNumberFormat="1" applyFont="1" applyFill="1" applyBorder="1" applyAlignment="1">
      <alignment horizontal="center"/>
    </xf>
    <xf numFmtId="1" fontId="1" fillId="0" borderId="33" xfId="0" applyNumberFormat="1" applyFont="1" applyFill="1" applyBorder="1" applyAlignment="1">
      <alignment horizontal="center"/>
    </xf>
    <xf numFmtId="2" fontId="1" fillId="0" borderId="50" xfId="0" applyNumberFormat="1" applyFont="1" applyBorder="1" applyAlignment="1">
      <alignment horizontal="center"/>
    </xf>
    <xf numFmtId="3" fontId="9" fillId="2" borderId="21" xfId="0" applyNumberFormat="1" applyFont="1" applyFill="1" applyBorder="1" applyAlignment="1">
      <alignment horizontal="center"/>
    </xf>
    <xf numFmtId="3" fontId="9" fillId="2" borderId="18" xfId="0" applyNumberFormat="1" applyFont="1" applyFill="1" applyBorder="1" applyAlignment="1">
      <alignment horizontal="center"/>
    </xf>
    <xf numFmtId="1" fontId="9" fillId="2" borderId="18" xfId="0" applyNumberFormat="1" applyFont="1" applyFill="1" applyBorder="1" applyAlignment="1">
      <alignment horizontal="center"/>
    </xf>
    <xf numFmtId="1" fontId="9" fillId="2" borderId="22" xfId="0" applyNumberFormat="1" applyFont="1" applyFill="1" applyBorder="1" applyAlignment="1">
      <alignment horizontal="center"/>
    </xf>
    <xf numFmtId="1" fontId="16" fillId="39" borderId="79" xfId="0" applyNumberFormat="1" applyFont="1" applyFill="1" applyBorder="1" applyAlignment="1" applyProtection="1">
      <alignment horizontal="center"/>
    </xf>
    <xf numFmtId="1" fontId="16" fillId="39" borderId="80" xfId="0" applyNumberFormat="1" applyFont="1" applyFill="1" applyBorder="1" applyAlignment="1" applyProtection="1">
      <alignment horizontal="center"/>
    </xf>
    <xf numFmtId="2" fontId="16" fillId="39" borderId="80" xfId="0" applyNumberFormat="1" applyFont="1" applyFill="1" applyBorder="1" applyAlignment="1" applyProtection="1">
      <alignment horizontal="center"/>
    </xf>
    <xf numFmtId="2" fontId="16" fillId="39" borderId="81" xfId="0" applyNumberFormat="1" applyFont="1" applyFill="1" applyBorder="1" applyAlignment="1" applyProtection="1">
      <alignment horizontal="center"/>
    </xf>
    <xf numFmtId="2" fontId="16" fillId="39" borderId="32" xfId="0" applyNumberFormat="1" applyFont="1" applyFill="1" applyBorder="1" applyAlignment="1" applyProtection="1">
      <alignment horizontal="center"/>
    </xf>
    <xf numFmtId="2" fontId="16" fillId="39" borderId="34" xfId="0" applyNumberFormat="1" applyFont="1" applyFill="1" applyBorder="1" applyAlignment="1" applyProtection="1">
      <alignment horizontal="center"/>
    </xf>
    <xf numFmtId="165" fontId="6" fillId="39" borderId="66" xfId="0" applyNumberFormat="1" applyFont="1" applyFill="1" applyBorder="1" applyAlignment="1">
      <alignment horizontal="center"/>
    </xf>
    <xf numFmtId="1" fontId="6" fillId="39" borderId="17" xfId="0" applyNumberFormat="1" applyFont="1" applyFill="1" applyBorder="1" applyAlignment="1" applyProtection="1">
      <alignment horizontal="center"/>
    </xf>
    <xf numFmtId="2" fontId="16" fillId="39" borderId="87" xfId="0" applyNumberFormat="1" applyFont="1" applyFill="1" applyBorder="1" applyAlignment="1" applyProtection="1">
      <alignment horizontal="center"/>
    </xf>
    <xf numFmtId="2" fontId="16" fillId="39" borderId="18" xfId="0" applyNumberFormat="1" applyFont="1" applyFill="1" applyBorder="1" applyAlignment="1" applyProtection="1">
      <alignment horizontal="center"/>
    </xf>
    <xf numFmtId="2" fontId="16" fillId="39" borderId="20" xfId="0" applyNumberFormat="1" applyFont="1" applyFill="1" applyBorder="1" applyAlignment="1" applyProtection="1">
      <alignment horizontal="center"/>
    </xf>
    <xf numFmtId="2" fontId="16" fillId="39" borderId="1" xfId="0" applyNumberFormat="1" applyFont="1" applyFill="1" applyBorder="1" applyAlignment="1" applyProtection="1">
      <alignment horizontal="center"/>
    </xf>
    <xf numFmtId="2" fontId="16" fillId="39" borderId="19" xfId="0" applyNumberFormat="1" applyFont="1" applyFill="1" applyBorder="1" applyAlignment="1" applyProtection="1">
      <alignment horizontal="center"/>
    </xf>
    <xf numFmtId="2" fontId="6" fillId="39" borderId="1" xfId="0" applyNumberFormat="1" applyFont="1" applyFill="1" applyBorder="1" applyAlignment="1" applyProtection="1">
      <alignment horizontal="center"/>
    </xf>
    <xf numFmtId="2" fontId="6" fillId="39" borderId="19" xfId="0" applyNumberFormat="1" applyFont="1" applyFill="1" applyBorder="1" applyAlignment="1" applyProtection="1">
      <alignment horizontal="center"/>
    </xf>
    <xf numFmtId="2" fontId="16" fillId="39" borderId="31" xfId="0" applyNumberFormat="1" applyFont="1" applyFill="1" applyBorder="1" applyAlignment="1" applyProtection="1">
      <alignment horizontal="center"/>
      <protection locked="0"/>
    </xf>
    <xf numFmtId="2" fontId="6" fillId="39" borderId="32" xfId="0" applyNumberFormat="1" applyFont="1" applyFill="1" applyBorder="1" applyAlignment="1" applyProtection="1">
      <alignment horizontal="center"/>
    </xf>
    <xf numFmtId="2" fontId="6" fillId="39" borderId="34" xfId="0" applyNumberFormat="1" applyFont="1" applyFill="1" applyBorder="1" applyAlignment="1" applyProtection="1">
      <alignment horizontal="center"/>
    </xf>
    <xf numFmtId="1" fontId="1" fillId="0" borderId="50" xfId="0" applyNumberFormat="1" applyFont="1" applyFill="1" applyBorder="1" applyAlignment="1">
      <alignment horizontal="center"/>
    </xf>
    <xf numFmtId="2" fontId="1" fillId="0" borderId="33" xfId="0" applyNumberFormat="1" applyFont="1" applyFill="1" applyBorder="1" applyAlignment="1">
      <alignment horizontal="center"/>
    </xf>
    <xf numFmtId="1" fontId="1" fillId="0" borderId="33" xfId="0" applyNumberFormat="1" applyFont="1" applyBorder="1" applyAlignment="1">
      <alignment horizontal="center"/>
    </xf>
    <xf numFmtId="1" fontId="1" fillId="0" borderId="50" xfId="0" applyNumberFormat="1" applyFont="1" applyBorder="1" applyAlignment="1">
      <alignment horizontal="center"/>
    </xf>
    <xf numFmtId="2" fontId="1" fillId="2" borderId="4" xfId="0" applyNumberFormat="1" applyFont="1" applyFill="1" applyBorder="1" applyAlignment="1">
      <alignment horizontal="center"/>
    </xf>
    <xf numFmtId="3" fontId="1" fillId="2" borderId="12" xfId="0" applyNumberFormat="1" applyFont="1" applyFill="1" applyBorder="1" applyAlignment="1">
      <alignment horizontal="center"/>
    </xf>
    <xf numFmtId="0" fontId="2" fillId="0" borderId="85" xfId="0" applyNumberFormat="1" applyFont="1" applyBorder="1" applyAlignment="1">
      <alignment readingOrder="2"/>
    </xf>
    <xf numFmtId="3" fontId="36" fillId="2" borderId="17" xfId="0" applyNumberFormat="1" applyFont="1" applyFill="1" applyBorder="1" applyAlignment="1">
      <alignment horizontal="center"/>
    </xf>
    <xf numFmtId="3" fontId="36" fillId="2" borderId="4" xfId="0" applyNumberFormat="1" applyFont="1" applyFill="1" applyBorder="1" applyAlignment="1">
      <alignment horizontal="center"/>
    </xf>
    <xf numFmtId="164" fontId="0" fillId="0" borderId="0" xfId="0" applyNumberFormat="1" applyBorder="1" applyAlignment="1">
      <alignment horizontal="right" readingOrder="2"/>
    </xf>
    <xf numFmtId="2" fontId="16" fillId="2" borderId="87" xfId="0" applyNumberFormat="1" applyFont="1" applyFill="1" applyBorder="1" applyAlignment="1">
      <alignment horizontal="center"/>
    </xf>
    <xf numFmtId="0" fontId="1" fillId="2" borderId="41" xfId="0" applyFont="1" applyFill="1" applyBorder="1" applyAlignment="1">
      <alignment horizontal="center" wrapText="1"/>
    </xf>
    <xf numFmtId="0" fontId="11" fillId="0" borderId="0" xfId="0" applyFont="1" applyBorder="1" applyAlignment="1">
      <alignment horizontal="right"/>
    </xf>
    <xf numFmtId="0" fontId="13" fillId="0" borderId="0" xfId="0" applyFont="1" applyBorder="1" applyAlignment="1">
      <alignment horizontal="right"/>
    </xf>
    <xf numFmtId="0" fontId="13" fillId="0" borderId="0" xfId="0" applyFont="1" applyBorder="1" applyAlignment="1">
      <alignment horizontal="right"/>
    </xf>
    <xf numFmtId="172" fontId="6" fillId="39" borderId="87" xfId="28" applyNumberFormat="1" applyFont="1" applyFill="1" applyBorder="1" applyAlignment="1" applyProtection="1">
      <alignment vertical="center"/>
    </xf>
    <xf numFmtId="172" fontId="6" fillId="39" borderId="79" xfId="28" applyNumberFormat="1" applyFont="1" applyFill="1" applyBorder="1" applyAlignment="1" applyProtection="1">
      <alignment vertical="center"/>
    </xf>
    <xf numFmtId="172" fontId="38" fillId="39" borderId="79" xfId="28" applyNumberFormat="1" applyFont="1" applyFill="1" applyBorder="1" applyAlignment="1" applyProtection="1">
      <alignment vertical="center"/>
    </xf>
    <xf numFmtId="1" fontId="16" fillId="39" borderId="79" xfId="0" applyNumberFormat="1" applyFont="1" applyFill="1" applyBorder="1" applyAlignment="1">
      <alignment horizontal="center"/>
    </xf>
    <xf numFmtId="1" fontId="16" fillId="39" borderId="80" xfId="0" applyNumberFormat="1" applyFont="1" applyFill="1" applyBorder="1" applyAlignment="1">
      <alignment horizontal="center"/>
    </xf>
    <xf numFmtId="165" fontId="16" fillId="39" borderId="80" xfId="0" applyNumberFormat="1" applyFont="1" applyFill="1" applyBorder="1" applyAlignment="1">
      <alignment horizontal="center"/>
    </xf>
    <xf numFmtId="1" fontId="16" fillId="39" borderId="81" xfId="0" applyNumberFormat="1" applyFont="1" applyFill="1" applyBorder="1" applyAlignment="1">
      <alignment horizontal="center"/>
    </xf>
    <xf numFmtId="1" fontId="16" fillId="39" borderId="82" xfId="0" applyNumberFormat="1" applyFont="1" applyFill="1" applyBorder="1" applyAlignment="1">
      <alignment horizontal="center"/>
    </xf>
    <xf numFmtId="1" fontId="16" fillId="39" borderId="83" xfId="0" applyNumberFormat="1" applyFont="1" applyFill="1" applyBorder="1" applyAlignment="1">
      <alignment horizontal="center"/>
    </xf>
    <xf numFmtId="2" fontId="16" fillId="39" borderId="80" xfId="0" applyNumberFormat="1" applyFont="1" applyFill="1" applyBorder="1" applyAlignment="1">
      <alignment horizontal="center"/>
    </xf>
    <xf numFmtId="2" fontId="16" fillId="39" borderId="84" xfId="0" applyNumberFormat="1" applyFont="1" applyFill="1" applyBorder="1" applyAlignment="1">
      <alignment horizontal="center"/>
    </xf>
    <xf numFmtId="2" fontId="16" fillId="39" borderId="81" xfId="0" applyNumberFormat="1" applyFont="1" applyFill="1" applyBorder="1" applyAlignment="1">
      <alignment horizontal="center"/>
    </xf>
    <xf numFmtId="1" fontId="16" fillId="39" borderId="87" xfId="0" applyNumberFormat="1" applyFont="1" applyFill="1" applyBorder="1" applyAlignment="1">
      <alignment horizontal="center"/>
    </xf>
    <xf numFmtId="1" fontId="16" fillId="39" borderId="84" xfId="0" applyNumberFormat="1" applyFont="1" applyFill="1" applyBorder="1" applyAlignment="1">
      <alignment horizontal="center"/>
    </xf>
    <xf numFmtId="165" fontId="16" fillId="39" borderId="84" xfId="0" applyNumberFormat="1" applyFont="1" applyFill="1" applyBorder="1" applyAlignment="1">
      <alignment horizontal="center"/>
    </xf>
    <xf numFmtId="165" fontId="16" fillId="39" borderId="79" xfId="0" applyNumberFormat="1" applyFont="1" applyFill="1" applyBorder="1" applyAlignment="1">
      <alignment horizontal="center"/>
    </xf>
    <xf numFmtId="165" fontId="16" fillId="39" borderId="81" xfId="0" applyNumberFormat="1" applyFont="1" applyFill="1" applyBorder="1" applyAlignment="1">
      <alignment horizontal="center"/>
    </xf>
    <xf numFmtId="165" fontId="16" fillId="39" borderId="82" xfId="0" applyNumberFormat="1" applyFont="1" applyFill="1" applyBorder="1" applyAlignment="1">
      <alignment horizontal="center"/>
    </xf>
    <xf numFmtId="2" fontId="16" fillId="39" borderId="79" xfId="0" applyNumberFormat="1" applyFont="1" applyFill="1" applyBorder="1" applyAlignment="1">
      <alignment horizontal="center"/>
    </xf>
    <xf numFmtId="2" fontId="16" fillId="39" borderId="47" xfId="0" applyNumberFormat="1" applyFont="1" applyFill="1" applyBorder="1" applyAlignment="1">
      <alignment horizontal="center"/>
    </xf>
    <xf numFmtId="2" fontId="16" fillId="39" borderId="41" xfId="0" applyNumberFormat="1" applyFont="1" applyFill="1" applyBorder="1" applyAlignment="1">
      <alignment horizontal="center"/>
    </xf>
    <xf numFmtId="2" fontId="16" fillId="39" borderId="85" xfId="0" applyNumberFormat="1" applyFont="1" applyFill="1" applyBorder="1" applyAlignment="1">
      <alignment horizontal="center"/>
    </xf>
    <xf numFmtId="2" fontId="16" fillId="39" borderId="87" xfId="0" applyNumberFormat="1" applyFont="1" applyFill="1" applyBorder="1" applyAlignment="1">
      <alignment horizontal="center"/>
    </xf>
    <xf numFmtId="165" fontId="16" fillId="39" borderId="85" xfId="0" applyNumberFormat="1" applyFont="1" applyFill="1" applyBorder="1" applyAlignment="1">
      <alignment horizontal="center"/>
    </xf>
    <xf numFmtId="2" fontId="16" fillId="39" borderId="7" xfId="0" applyNumberFormat="1" applyFont="1" applyFill="1" applyBorder="1" applyAlignment="1">
      <alignment horizontal="center"/>
    </xf>
    <xf numFmtId="2" fontId="16" fillId="39" borderId="86" xfId="0" applyNumberFormat="1" applyFont="1" applyFill="1" applyBorder="1" applyAlignment="1">
      <alignment horizontal="center"/>
    </xf>
    <xf numFmtId="2" fontId="16" fillId="39" borderId="83" xfId="0" applyNumberFormat="1" applyFont="1" applyFill="1" applyBorder="1" applyAlignment="1">
      <alignment horizontal="center"/>
    </xf>
    <xf numFmtId="165" fontId="6" fillId="39" borderId="88" xfId="0" applyNumberFormat="1" applyFont="1" applyFill="1" applyBorder="1" applyAlignment="1">
      <alignment horizontal="center"/>
    </xf>
    <xf numFmtId="1" fontId="6" fillId="39" borderId="33" xfId="0" applyNumberFormat="1" applyFont="1" applyFill="1" applyBorder="1" applyAlignment="1">
      <alignment horizontal="center"/>
    </xf>
    <xf numFmtId="2" fontId="16" fillId="39" borderId="82" xfId="0" applyNumberFormat="1" applyFont="1" applyFill="1" applyBorder="1" applyAlignment="1">
      <alignment horizontal="center"/>
    </xf>
    <xf numFmtId="1" fontId="6" fillId="39" borderId="81" xfId="0" applyNumberFormat="1" applyFont="1" applyFill="1" applyBorder="1" applyAlignment="1">
      <alignment horizontal="center"/>
    </xf>
    <xf numFmtId="165" fontId="6" fillId="39" borderId="87" xfId="0" applyNumberFormat="1" applyFont="1" applyFill="1" applyBorder="1" applyAlignment="1">
      <alignment horizontal="center"/>
    </xf>
    <xf numFmtId="1" fontId="6" fillId="39" borderId="80" xfId="0" applyNumberFormat="1" applyFont="1" applyFill="1" applyBorder="1" applyAlignment="1">
      <alignment horizontal="center"/>
    </xf>
    <xf numFmtId="172" fontId="16" fillId="39" borderId="48" xfId="28" applyNumberFormat="1" applyFont="1" applyFill="1" applyBorder="1" applyAlignment="1" applyProtection="1"/>
    <xf numFmtId="1" fontId="16" fillId="39" borderId="81" xfId="0" applyNumberFormat="1" applyFont="1" applyFill="1" applyBorder="1" applyAlignment="1">
      <alignment horizontal="center" wrapText="1"/>
    </xf>
    <xf numFmtId="2" fontId="16" fillId="39" borderId="85" xfId="0" applyNumberFormat="1" applyFont="1" applyFill="1" applyBorder="1"/>
    <xf numFmtId="2" fontId="16" fillId="39" borderId="87" xfId="0" applyNumberFormat="1" applyFont="1" applyFill="1" applyBorder="1" applyAlignment="1" applyProtection="1">
      <alignment horizontal="center"/>
      <protection locked="0"/>
    </xf>
    <xf numFmtId="2" fontId="16" fillId="39" borderId="47" xfId="0" applyNumberFormat="1" applyFont="1" applyFill="1" applyBorder="1"/>
    <xf numFmtId="2" fontId="16" fillId="39" borderId="80" xfId="0" applyNumberFormat="1" applyFont="1" applyFill="1" applyBorder="1"/>
    <xf numFmtId="2" fontId="16" fillId="39" borderId="83" xfId="0" applyNumberFormat="1" applyFont="1" applyFill="1" applyBorder="1"/>
    <xf numFmtId="2" fontId="6" fillId="39" borderId="85" xfId="0" applyNumberFormat="1" applyFont="1" applyFill="1" applyBorder="1"/>
    <xf numFmtId="2" fontId="16" fillId="39" borderId="0" xfId="0" applyNumberFormat="1" applyFont="1" applyFill="1" applyAlignment="1">
      <alignment horizontal="center"/>
    </xf>
    <xf numFmtId="2" fontId="16" fillId="39" borderId="35" xfId="0" applyNumberFormat="1" applyFont="1" applyFill="1" applyBorder="1" applyAlignment="1">
      <alignment horizontal="center"/>
    </xf>
    <xf numFmtId="2" fontId="6" fillId="39" borderId="47" xfId="0" applyNumberFormat="1" applyFont="1" applyFill="1" applyBorder="1"/>
    <xf numFmtId="0" fontId="13" fillId="0" borderId="0" xfId="0" applyFont="1" applyAlignment="1">
      <alignment horizontal="right" vertical="top" wrapText="1" readingOrder="2"/>
    </xf>
    <xf numFmtId="1" fontId="41" fillId="0" borderId="31" xfId="0" applyNumberFormat="1" applyFont="1" applyFill="1" applyBorder="1" applyAlignment="1">
      <alignment horizontal="center"/>
    </xf>
    <xf numFmtId="2" fontId="41" fillId="0" borderId="50" xfId="0" applyNumberFormat="1" applyFont="1" applyBorder="1" applyAlignment="1">
      <alignment horizontal="center"/>
    </xf>
    <xf numFmtId="1" fontId="41" fillId="0" borderId="33" xfId="0" applyNumberFormat="1" applyFont="1" applyFill="1" applyBorder="1" applyAlignment="1">
      <alignment horizontal="center"/>
    </xf>
    <xf numFmtId="3" fontId="41" fillId="2" borderId="2" xfId="0" applyNumberFormat="1" applyFont="1" applyFill="1" applyBorder="1" applyAlignment="1">
      <alignment horizontal="center"/>
    </xf>
    <xf numFmtId="2" fontId="16" fillId="3" borderId="28" xfId="0" applyNumberFormat="1" applyFont="1" applyFill="1" applyBorder="1" applyAlignment="1">
      <alignment horizontal="center" wrapText="1"/>
    </xf>
    <xf numFmtId="2" fontId="16" fillId="3" borderId="41" xfId="0" applyNumberFormat="1" applyFont="1" applyFill="1" applyBorder="1" applyAlignment="1">
      <alignment horizontal="center" wrapText="1"/>
    </xf>
    <xf numFmtId="2" fontId="16" fillId="0" borderId="0" xfId="0" applyNumberFormat="1" applyFont="1" applyAlignment="1">
      <alignment horizontal="right"/>
    </xf>
    <xf numFmtId="1" fontId="16" fillId="0" borderId="0" xfId="0" applyNumberFormat="1" applyFont="1" applyFill="1" applyBorder="1" applyAlignment="1">
      <alignment horizontal="right"/>
    </xf>
    <xf numFmtId="2" fontId="16" fillId="2" borderId="65" xfId="0" applyNumberFormat="1" applyFont="1" applyFill="1" applyBorder="1" applyAlignment="1">
      <alignment horizontal="right"/>
    </xf>
    <xf numFmtId="2" fontId="16" fillId="2" borderId="1" xfId="0" applyNumberFormat="1" applyFont="1" applyFill="1" applyBorder="1" applyAlignment="1">
      <alignment horizontal="right"/>
    </xf>
    <xf numFmtId="1" fontId="16" fillId="2" borderId="6" xfId="0" applyNumberFormat="1" applyFont="1" applyFill="1" applyBorder="1" applyAlignment="1">
      <alignment horizontal="right"/>
    </xf>
    <xf numFmtId="2" fontId="9" fillId="0" borderId="33" xfId="41" applyNumberFormat="1" applyFont="1" applyBorder="1" applyAlignment="1">
      <alignment horizontal="center"/>
    </xf>
    <xf numFmtId="9" fontId="9" fillId="0" borderId="34" xfId="41" applyNumberFormat="1" applyFont="1" applyBorder="1" applyAlignment="1">
      <alignment horizontal="center"/>
    </xf>
    <xf numFmtId="2" fontId="16" fillId="3" borderId="58" xfId="0" applyNumberFormat="1" applyFont="1" applyFill="1" applyBorder="1" applyAlignment="1">
      <alignment horizontal="center"/>
    </xf>
    <xf numFmtId="1" fontId="16" fillId="39" borderId="84" xfId="0" applyNumberFormat="1" applyFont="1" applyFill="1" applyBorder="1" applyAlignment="1">
      <alignment horizontal="center" wrapText="1"/>
    </xf>
    <xf numFmtId="2" fontId="16" fillId="3" borderId="30" xfId="0" applyNumberFormat="1" applyFont="1" applyFill="1" applyBorder="1" applyAlignment="1">
      <alignment horizontal="center"/>
    </xf>
    <xf numFmtId="2" fontId="6" fillId="39" borderId="87" xfId="0" applyNumberFormat="1" applyFont="1" applyFill="1" applyBorder="1" applyAlignment="1" applyProtection="1">
      <alignment horizontal="center"/>
    </xf>
    <xf numFmtId="2" fontId="16" fillId="39" borderId="7" xfId="0" applyNumberFormat="1" applyFont="1" applyFill="1" applyBorder="1" applyAlignment="1" applyProtection="1">
      <alignment horizontal="center"/>
    </xf>
    <xf numFmtId="2" fontId="16" fillId="39" borderId="88" xfId="0" applyNumberFormat="1" applyFont="1" applyFill="1" applyBorder="1" applyAlignment="1">
      <alignment horizontal="center"/>
    </xf>
    <xf numFmtId="165" fontId="6" fillId="39" borderId="16" xfId="0" applyNumberFormat="1" applyFont="1" applyFill="1" applyBorder="1" applyAlignment="1">
      <alignment horizontal="center"/>
    </xf>
    <xf numFmtId="165" fontId="6" fillId="39" borderId="83" xfId="0" applyNumberFormat="1" applyFont="1" applyFill="1" applyBorder="1" applyAlignment="1">
      <alignment horizontal="center"/>
    </xf>
    <xf numFmtId="2" fontId="16" fillId="4" borderId="89" xfId="0" applyNumberFormat="1" applyFont="1" applyFill="1" applyBorder="1" applyAlignment="1">
      <alignment horizontal="center" wrapText="1"/>
    </xf>
    <xf numFmtId="3" fontId="16" fillId="39" borderId="88" xfId="0" applyNumberFormat="1" applyFont="1" applyFill="1" applyBorder="1" applyAlignment="1">
      <alignment horizontal="right"/>
    </xf>
    <xf numFmtId="172" fontId="16" fillId="39" borderId="86" xfId="28" applyNumberFormat="1" applyFont="1" applyFill="1" applyBorder="1" applyAlignment="1" applyProtection="1">
      <alignment horizontal="right"/>
    </xf>
    <xf numFmtId="172" fontId="16" fillId="39" borderId="48" xfId="28" applyNumberFormat="1" applyFont="1" applyFill="1" applyBorder="1" applyAlignment="1" applyProtection="1">
      <alignment horizontal="right"/>
    </xf>
    <xf numFmtId="172" fontId="16" fillId="39" borderId="48" xfId="28" applyNumberFormat="1" applyFont="1" applyFill="1" applyBorder="1" applyAlignment="1" applyProtection="1">
      <alignment horizontal="center"/>
    </xf>
    <xf numFmtId="172" fontId="16" fillId="39" borderId="86" xfId="28" applyNumberFormat="1" applyFont="1" applyFill="1" applyBorder="1" applyAlignment="1" applyProtection="1">
      <alignment horizontal="center"/>
    </xf>
    <xf numFmtId="1" fontId="9" fillId="0" borderId="0" xfId="0" applyNumberFormat="1" applyFont="1"/>
    <xf numFmtId="0" fontId="13" fillId="0" borderId="1" xfId="0" applyFont="1" applyBorder="1" applyAlignment="1">
      <alignment horizontal="right" vertical="top" wrapText="1" readingOrder="2"/>
    </xf>
    <xf numFmtId="0" fontId="13" fillId="0" borderId="4" xfId="0" applyFont="1" applyBorder="1" applyAlignment="1">
      <alignment horizontal="right" vertical="top" wrapText="1" readingOrder="2"/>
    </xf>
    <xf numFmtId="2" fontId="13" fillId="0" borderId="4" xfId="0" applyNumberFormat="1" applyFont="1" applyBorder="1" applyAlignment="1">
      <alignment horizontal="right" vertical="top" wrapText="1" readingOrder="2"/>
    </xf>
    <xf numFmtId="2" fontId="13" fillId="0" borderId="5" xfId="0" applyNumberFormat="1" applyFont="1" applyBorder="1" applyAlignment="1">
      <alignment horizontal="right" vertical="top" wrapText="1" readingOrder="2"/>
    </xf>
    <xf numFmtId="0" fontId="13" fillId="0" borderId="59" xfId="0" applyFont="1" applyBorder="1" applyAlignment="1">
      <alignment horizontal="right" vertical="top" wrapText="1" readingOrder="2"/>
    </xf>
    <xf numFmtId="0" fontId="13" fillId="0" borderId="44" xfId="0" applyFont="1" applyBorder="1" applyAlignment="1">
      <alignment horizontal="right" vertical="top" wrapText="1" readingOrder="2"/>
    </xf>
    <xf numFmtId="1" fontId="13" fillId="0" borderId="19" xfId="0" applyNumberFormat="1" applyFont="1" applyBorder="1" applyAlignment="1">
      <alignment horizontal="right" vertical="top" wrapText="1" readingOrder="2"/>
    </xf>
    <xf numFmtId="1" fontId="13" fillId="0" borderId="20" xfId="0" applyNumberFormat="1" applyFont="1" applyBorder="1" applyAlignment="1">
      <alignment horizontal="right" vertical="top" wrapText="1" readingOrder="2"/>
    </xf>
    <xf numFmtId="1" fontId="13" fillId="0" borderId="4" xfId="0" applyNumberFormat="1" applyFont="1" applyBorder="1" applyAlignment="1">
      <alignment horizontal="right" vertical="top" wrapText="1" readingOrder="2"/>
    </xf>
    <xf numFmtId="0" fontId="13" fillId="0" borderId="5" xfId="0" applyFont="1" applyBorder="1" applyAlignment="1">
      <alignment horizontal="right" vertical="top" wrapText="1" readingOrder="2"/>
    </xf>
    <xf numFmtId="2" fontId="13" fillId="0" borderId="44" xfId="0" applyNumberFormat="1" applyFont="1" applyBorder="1" applyAlignment="1">
      <alignment horizontal="right" vertical="top" wrapText="1" readingOrder="2"/>
    </xf>
    <xf numFmtId="2" fontId="13" fillId="0" borderId="54" xfId="0" applyNumberFormat="1" applyFont="1" applyBorder="1" applyAlignment="1">
      <alignment horizontal="right" vertical="top" wrapText="1" readingOrder="2"/>
    </xf>
    <xf numFmtId="172" fontId="13" fillId="0" borderId="4" xfId="28" applyNumberFormat="1" applyFont="1" applyBorder="1" applyAlignment="1">
      <alignment horizontal="right" vertical="top" wrapText="1" readingOrder="2"/>
    </xf>
    <xf numFmtId="172" fontId="13" fillId="0" borderId="5" xfId="28" applyNumberFormat="1" applyFont="1" applyBorder="1" applyAlignment="1">
      <alignment horizontal="right" vertical="top" wrapText="1" readingOrder="2"/>
    </xf>
    <xf numFmtId="0" fontId="13" fillId="0" borderId="6" xfId="0" applyFont="1" applyBorder="1" applyAlignment="1">
      <alignment horizontal="right" vertical="top" wrapText="1" readingOrder="2"/>
    </xf>
    <xf numFmtId="0" fontId="13" fillId="0" borderId="37" xfId="0" applyFont="1" applyBorder="1" applyAlignment="1">
      <alignment horizontal="right" vertical="top" wrapText="1" readingOrder="2"/>
    </xf>
    <xf numFmtId="4" fontId="13" fillId="0" borderId="4" xfId="0" applyNumberFormat="1" applyFont="1" applyBorder="1" applyAlignment="1">
      <alignment horizontal="right" vertical="top" wrapText="1" readingOrder="2"/>
    </xf>
    <xf numFmtId="4" fontId="13" fillId="0" borderId="5" xfId="0" applyNumberFormat="1" applyFont="1" applyBorder="1" applyAlignment="1">
      <alignment horizontal="right" vertical="top" wrapText="1" readingOrder="2"/>
    </xf>
    <xf numFmtId="2" fontId="13" fillId="0" borderId="51" xfId="0" applyNumberFormat="1" applyFont="1" applyBorder="1" applyAlignment="1">
      <alignment horizontal="right" vertical="top" wrapText="1" readingOrder="2"/>
    </xf>
    <xf numFmtId="2" fontId="13" fillId="0" borderId="38" xfId="0" applyNumberFormat="1" applyFont="1" applyBorder="1" applyAlignment="1">
      <alignment horizontal="right" vertical="top" wrapText="1" readingOrder="2"/>
    </xf>
    <xf numFmtId="0" fontId="13" fillId="0" borderId="11" xfId="0" applyFont="1" applyBorder="1" applyAlignment="1">
      <alignment horizontal="right" vertical="top" wrapText="1" readingOrder="2"/>
    </xf>
    <xf numFmtId="0" fontId="13" fillId="0" borderId="12" xfId="0" applyFont="1" applyBorder="1" applyAlignment="1">
      <alignment horizontal="right" vertical="top" wrapText="1" readingOrder="2"/>
    </xf>
    <xf numFmtId="3" fontId="14" fillId="0" borderId="15" xfId="0" applyNumberFormat="1" applyFont="1" applyBorder="1" applyAlignment="1">
      <alignment horizontal="right" readingOrder="2"/>
    </xf>
    <xf numFmtId="3" fontId="14" fillId="0" borderId="16" xfId="0" applyNumberFormat="1" applyFont="1" applyBorder="1" applyAlignment="1">
      <alignment horizontal="right" readingOrder="2"/>
    </xf>
    <xf numFmtId="0" fontId="13" fillId="0" borderId="27" xfId="0" applyFont="1" applyFill="1" applyBorder="1" applyAlignment="1">
      <alignment horizontal="right" wrapText="1"/>
    </xf>
    <xf numFmtId="0" fontId="13" fillId="0" borderId="18" xfId="0" applyFont="1" applyFill="1" applyBorder="1" applyAlignment="1">
      <alignment horizontal="right" wrapText="1"/>
    </xf>
    <xf numFmtId="0" fontId="13" fillId="0" borderId="3" xfId="0" applyFont="1" applyFill="1" applyBorder="1" applyAlignment="1">
      <alignment horizontal="right" wrapText="1"/>
    </xf>
    <xf numFmtId="0" fontId="11" fillId="0" borderId="0" xfId="0" applyFont="1" applyBorder="1" applyAlignment="1">
      <alignment horizontal="right" readingOrder="2"/>
    </xf>
    <xf numFmtId="4" fontId="13" fillId="0" borderId="37" xfId="0" applyNumberFormat="1" applyFont="1" applyBorder="1" applyAlignment="1">
      <alignment horizontal="right" vertical="top" wrapText="1" readingOrder="2"/>
    </xf>
    <xf numFmtId="4" fontId="13" fillId="0" borderId="40" xfId="0" applyNumberFormat="1" applyFont="1" applyBorder="1" applyAlignment="1">
      <alignment horizontal="right" vertical="top" wrapText="1" readingOrder="2"/>
    </xf>
    <xf numFmtId="1" fontId="13" fillId="0" borderId="51" xfId="0" applyNumberFormat="1" applyFont="1" applyBorder="1" applyAlignment="1">
      <alignment horizontal="right" vertical="top" wrapText="1" readingOrder="2"/>
    </xf>
    <xf numFmtId="1" fontId="13" fillId="0" borderId="38" xfId="0" applyNumberFormat="1" applyFont="1" applyBorder="1" applyAlignment="1">
      <alignment horizontal="right" vertical="top" wrapText="1" readingOrder="2"/>
    </xf>
    <xf numFmtId="0" fontId="13" fillId="0" borderId="56" xfId="0" applyFont="1" applyBorder="1" applyAlignment="1">
      <alignment horizontal="right" vertical="top" wrapText="1" readingOrder="2"/>
    </xf>
    <xf numFmtId="0" fontId="13" fillId="0" borderId="46" xfId="0" applyFont="1" applyBorder="1" applyAlignment="1">
      <alignment horizontal="right" vertical="top" wrapText="1" readingOrder="2"/>
    </xf>
    <xf numFmtId="172" fontId="13" fillId="0" borderId="46" xfId="28" applyNumberFormat="1" applyFont="1" applyBorder="1" applyAlignment="1">
      <alignment horizontal="right" vertical="top" wrapText="1" readingOrder="2"/>
    </xf>
    <xf numFmtId="172" fontId="13" fillId="0" borderId="63" xfId="28" applyNumberFormat="1" applyFont="1" applyBorder="1" applyAlignment="1">
      <alignment horizontal="right" vertical="top" wrapText="1" readingOrder="2"/>
    </xf>
    <xf numFmtId="0" fontId="10" fillId="0" borderId="0" xfId="0" applyFont="1" applyAlignment="1">
      <alignment horizontal="right" readingOrder="2"/>
    </xf>
    <xf numFmtId="3" fontId="13" fillId="0" borderId="12" xfId="0" applyNumberFormat="1" applyFont="1" applyBorder="1" applyAlignment="1">
      <alignment horizontal="right" vertical="top" wrapText="1" readingOrder="2"/>
    </xf>
    <xf numFmtId="3" fontId="13" fillId="0" borderId="14" xfId="0" applyNumberFormat="1" applyFont="1" applyBorder="1" applyAlignment="1">
      <alignment horizontal="right" vertical="top" wrapText="1" readingOrder="2"/>
    </xf>
    <xf numFmtId="3" fontId="13" fillId="0" borderId="4" xfId="0" applyNumberFormat="1" applyFont="1" applyBorder="1" applyAlignment="1">
      <alignment horizontal="right" vertical="top" wrapText="1" readingOrder="2"/>
    </xf>
    <xf numFmtId="0" fontId="13" fillId="0" borderId="0" xfId="0" applyFont="1" applyAlignment="1">
      <alignment horizontal="right" vertical="top" wrapText="1" readingOrder="2"/>
    </xf>
    <xf numFmtId="2" fontId="12" fillId="0" borderId="0" xfId="0" applyNumberFormat="1" applyFont="1" applyBorder="1" applyAlignment="1">
      <alignment horizontal="right"/>
    </xf>
    <xf numFmtId="0" fontId="12" fillId="0" borderId="0" xfId="0" applyFont="1" applyBorder="1" applyAlignment="1">
      <alignment horizontal="right"/>
    </xf>
    <xf numFmtId="0" fontId="4" fillId="0" borderId="0" xfId="0" applyNumberFormat="1" applyFont="1" applyFill="1" applyBorder="1" applyAlignment="1" applyProtection="1">
      <alignment horizontal="right" readingOrder="2"/>
    </xf>
    <xf numFmtId="0" fontId="13" fillId="0" borderId="27" xfId="0" applyFont="1" applyBorder="1" applyAlignment="1">
      <alignment horizontal="right" vertical="top" wrapText="1" readingOrder="2"/>
    </xf>
    <xf numFmtId="0" fontId="13" fillId="0" borderId="18" xfId="0" applyFont="1" applyBorder="1" applyAlignment="1">
      <alignment horizontal="right" vertical="top" wrapText="1" readingOrder="2"/>
    </xf>
    <xf numFmtId="0" fontId="13" fillId="0" borderId="3" xfId="0" applyFont="1" applyBorder="1" applyAlignment="1">
      <alignment horizontal="right" vertical="top" wrapText="1" readingOrder="2"/>
    </xf>
    <xf numFmtId="0" fontId="13" fillId="0" borderId="52" xfId="0" applyFont="1" applyBorder="1" applyAlignment="1">
      <alignment horizontal="right" vertical="top" wrapText="1" readingOrder="2"/>
    </xf>
    <xf numFmtId="0" fontId="13" fillId="0" borderId="22" xfId="0" applyFont="1" applyBorder="1" applyAlignment="1">
      <alignment horizontal="right" vertical="top" wrapText="1" readingOrder="2"/>
    </xf>
    <xf numFmtId="0" fontId="13" fillId="0" borderId="39" xfId="0" applyFont="1" applyBorder="1" applyAlignment="1">
      <alignment horizontal="right" vertical="top" wrapText="1" readingOrder="2"/>
    </xf>
    <xf numFmtId="2" fontId="13" fillId="0" borderId="12" xfId="0" applyNumberFormat="1" applyFont="1" applyBorder="1" applyAlignment="1">
      <alignment horizontal="right" vertical="top" wrapText="1" readingOrder="2"/>
    </xf>
    <xf numFmtId="2" fontId="13" fillId="0" borderId="14" xfId="0" applyNumberFormat="1" applyFont="1" applyBorder="1" applyAlignment="1">
      <alignment horizontal="right" vertical="top" wrapText="1" readingOrder="2"/>
    </xf>
    <xf numFmtId="4" fontId="13" fillId="0" borderId="12" xfId="0" applyNumberFormat="1" applyFont="1" applyBorder="1" applyAlignment="1">
      <alignment horizontal="right" vertical="top" wrapText="1" readingOrder="2"/>
    </xf>
    <xf numFmtId="4" fontId="13" fillId="0" borderId="14" xfId="0" applyNumberFormat="1" applyFont="1" applyBorder="1" applyAlignment="1">
      <alignment horizontal="right" vertical="top" wrapText="1" readingOrder="2"/>
    </xf>
    <xf numFmtId="0" fontId="11" fillId="0" borderId="0" xfId="0" applyFont="1" applyBorder="1" applyAlignment="1">
      <alignment horizontal="right"/>
    </xf>
    <xf numFmtId="3" fontId="13" fillId="0" borderId="44" xfId="0" applyNumberFormat="1" applyFont="1" applyBorder="1" applyAlignment="1">
      <alignment horizontal="right" vertical="top" wrapText="1" readingOrder="2"/>
    </xf>
    <xf numFmtId="0" fontId="13" fillId="0" borderId="54" xfId="0" applyFont="1" applyBorder="1" applyAlignment="1">
      <alignment horizontal="right" vertical="top" wrapText="1" readingOrder="2"/>
    </xf>
    <xf numFmtId="2" fontId="13" fillId="0" borderId="37" xfId="0" applyNumberFormat="1" applyFont="1" applyBorder="1" applyAlignment="1">
      <alignment horizontal="right" vertical="top" wrapText="1" readingOrder="2"/>
    </xf>
    <xf numFmtId="2" fontId="13" fillId="0" borderId="40" xfId="0" applyNumberFormat="1" applyFont="1" applyBorder="1" applyAlignment="1">
      <alignment horizontal="right" vertical="top" wrapText="1" readingOrder="2"/>
    </xf>
    <xf numFmtId="2" fontId="13" fillId="0" borderId="19" xfId="0" applyNumberFormat="1" applyFont="1" applyBorder="1" applyAlignment="1">
      <alignment horizontal="right" vertical="top" wrapText="1" readingOrder="2"/>
    </xf>
    <xf numFmtId="2" fontId="13" fillId="0" borderId="20" xfId="0" applyNumberFormat="1" applyFont="1" applyBorder="1" applyAlignment="1">
      <alignment horizontal="right" vertical="top" wrapText="1" readingOrder="2"/>
    </xf>
    <xf numFmtId="0" fontId="13" fillId="0" borderId="32" xfId="0" applyFont="1" applyBorder="1" applyAlignment="1">
      <alignment horizontal="right" vertical="top" wrapText="1" readingOrder="2"/>
    </xf>
    <xf numFmtId="0" fontId="13" fillId="0" borderId="50" xfId="0" applyFont="1" applyBorder="1" applyAlignment="1">
      <alignment horizontal="right" vertical="top" wrapText="1" readingOrder="2"/>
    </xf>
    <xf numFmtId="3" fontId="13" fillId="0" borderId="50" xfId="0" applyNumberFormat="1" applyFont="1" applyBorder="1" applyAlignment="1">
      <alignment horizontal="right" vertical="top" wrapText="1" readingOrder="2"/>
    </xf>
    <xf numFmtId="0" fontId="13" fillId="0" borderId="35" xfId="0" applyFont="1" applyBorder="1" applyAlignment="1">
      <alignment horizontal="right" vertical="top" wrapText="1" readingOrder="2"/>
    </xf>
    <xf numFmtId="3" fontId="4" fillId="0" borderId="4" xfId="0" applyNumberFormat="1" applyFont="1" applyBorder="1" applyAlignment="1">
      <alignment horizontal="right" vertical="top" wrapText="1" readingOrder="2"/>
    </xf>
    <xf numFmtId="0" fontId="4" fillId="0" borderId="5" xfId="0" applyFont="1" applyBorder="1" applyAlignment="1">
      <alignment horizontal="right" vertical="top" wrapText="1" readingOrder="2"/>
    </xf>
    <xf numFmtId="3" fontId="13" fillId="0" borderId="5" xfId="0" applyNumberFormat="1" applyFont="1" applyBorder="1" applyAlignment="1">
      <alignment horizontal="right" vertical="top" wrapText="1" readingOrder="2"/>
    </xf>
    <xf numFmtId="167" fontId="9" fillId="2" borderId="28" xfId="0" applyNumberFormat="1" applyFont="1" applyFill="1" applyBorder="1" applyAlignment="1">
      <alignment horizontal="center"/>
    </xf>
    <xf numFmtId="167" fontId="9" fillId="2" borderId="8" xfId="0" applyNumberFormat="1" applyFont="1" applyFill="1" applyBorder="1" applyAlignment="1">
      <alignment horizontal="center"/>
    </xf>
    <xf numFmtId="167" fontId="9" fillId="2" borderId="9" xfId="0" applyNumberFormat="1" applyFont="1" applyFill="1" applyBorder="1" applyAlignment="1">
      <alignment horizontal="center"/>
    </xf>
    <xf numFmtId="0" fontId="9" fillId="6" borderId="28" xfId="0" applyFont="1" applyFill="1" applyBorder="1" applyAlignment="1">
      <alignment horizontal="center"/>
    </xf>
    <xf numFmtId="0" fontId="9" fillId="6" borderId="8" xfId="0" applyFont="1" applyFill="1" applyBorder="1" applyAlignment="1">
      <alignment horizontal="center"/>
    </xf>
    <xf numFmtId="0" fontId="9" fillId="6" borderId="9" xfId="0" applyFont="1" applyFill="1" applyBorder="1" applyAlignment="1">
      <alignment horizontal="center"/>
    </xf>
    <xf numFmtId="0" fontId="17" fillId="6" borderId="8" xfId="0" applyFont="1" applyFill="1" applyBorder="1" applyAlignment="1">
      <alignment horizontal="center"/>
    </xf>
    <xf numFmtId="0" fontId="9" fillId="2" borderId="36" xfId="0" applyFont="1" applyFill="1" applyBorder="1" applyAlignment="1">
      <alignment horizontal="center" wrapText="1"/>
    </xf>
    <xf numFmtId="0" fontId="9" fillId="2" borderId="62" xfId="0" applyFont="1" applyFill="1" applyBorder="1" applyAlignment="1">
      <alignment horizontal="center" wrapText="1"/>
    </xf>
    <xf numFmtId="0" fontId="9" fillId="2" borderId="41" xfId="0" applyFont="1" applyFill="1" applyBorder="1" applyAlignment="1">
      <alignment horizontal="center" wrapText="1"/>
    </xf>
    <xf numFmtId="0" fontId="9" fillId="2" borderId="30" xfId="0" applyFont="1" applyFill="1" applyBorder="1" applyAlignment="1">
      <alignment horizontal="center" wrapText="1"/>
    </xf>
    <xf numFmtId="0" fontId="7" fillId="6" borderId="28" xfId="0" applyFont="1" applyFill="1" applyBorder="1" applyAlignment="1">
      <alignment horizontal="center"/>
    </xf>
    <xf numFmtId="0" fontId="17" fillId="6" borderId="28" xfId="0" applyFont="1" applyFill="1" applyBorder="1" applyAlignment="1">
      <alignment horizontal="center"/>
    </xf>
    <xf numFmtId="167" fontId="1" fillId="2" borderId="28" xfId="0" applyNumberFormat="1" applyFont="1" applyFill="1" applyBorder="1" applyAlignment="1">
      <alignment horizontal="center"/>
    </xf>
    <xf numFmtId="0" fontId="9" fillId="2" borderId="58" xfId="0" applyFont="1" applyFill="1" applyBorder="1" applyAlignment="1">
      <alignment horizontal="center"/>
    </xf>
    <xf numFmtId="0" fontId="9" fillId="2" borderId="36" xfId="0" applyFont="1" applyFill="1" applyBorder="1" applyAlignment="1">
      <alignment horizontal="center"/>
    </xf>
    <xf numFmtId="0" fontId="9" fillId="2" borderId="43" xfId="0" applyFont="1" applyFill="1" applyBorder="1" applyAlignment="1">
      <alignment horizontal="center"/>
    </xf>
    <xf numFmtId="0" fontId="9" fillId="2" borderId="62" xfId="0" applyFont="1" applyFill="1" applyBorder="1" applyAlignment="1">
      <alignment horizontal="center"/>
    </xf>
    <xf numFmtId="0" fontId="17" fillId="6" borderId="9" xfId="0" applyFont="1" applyFill="1" applyBorder="1" applyAlignment="1">
      <alignment horizontal="center"/>
    </xf>
    <xf numFmtId="0" fontId="9" fillId="5" borderId="6" xfId="0" applyFont="1" applyFill="1" applyBorder="1" applyAlignment="1" applyProtection="1">
      <alignment horizontal="center"/>
    </xf>
    <xf numFmtId="0" fontId="9" fillId="5" borderId="51" xfId="0" applyFont="1" applyFill="1" applyBorder="1" applyAlignment="1" applyProtection="1">
      <alignment horizontal="center"/>
    </xf>
    <xf numFmtId="0" fontId="9" fillId="5" borderId="11" xfId="0" applyFont="1" applyFill="1" applyBorder="1" applyAlignment="1" applyProtection="1">
      <alignment horizontal="center"/>
    </xf>
    <xf numFmtId="0" fontId="9" fillId="5" borderId="15" xfId="0" applyFont="1" applyFill="1" applyBorder="1" applyAlignment="1" applyProtection="1">
      <alignment horizontal="center"/>
    </xf>
    <xf numFmtId="0" fontId="9" fillId="5" borderId="1" xfId="0" applyFont="1" applyFill="1" applyBorder="1" applyAlignment="1" applyProtection="1">
      <alignment horizontal="center"/>
    </xf>
    <xf numFmtId="0" fontId="9" fillId="5" borderId="19" xfId="0" applyFont="1" applyFill="1" applyBorder="1" applyAlignment="1" applyProtection="1">
      <alignment horizontal="center"/>
    </xf>
    <xf numFmtId="170" fontId="9" fillId="0" borderId="58" xfId="0" applyNumberFormat="1" applyFont="1" applyBorder="1" applyAlignment="1">
      <alignment horizontal="center"/>
    </xf>
    <xf numFmtId="170" fontId="9" fillId="0" borderId="36" xfId="0" applyNumberFormat="1" applyFont="1" applyBorder="1" applyAlignment="1">
      <alignment horizontal="center"/>
    </xf>
    <xf numFmtId="170" fontId="9" fillId="0" borderId="48" xfId="0" applyNumberFormat="1" applyFont="1" applyBorder="1" applyAlignment="1">
      <alignment horizontal="center"/>
    </xf>
    <xf numFmtId="170" fontId="9" fillId="0" borderId="34" xfId="0" applyNumberFormat="1" applyFont="1" applyBorder="1" applyAlignment="1">
      <alignment horizontal="center"/>
    </xf>
    <xf numFmtId="170" fontId="9" fillId="0" borderId="43" xfId="0" applyNumberFormat="1" applyFont="1" applyBorder="1" applyAlignment="1">
      <alignment horizontal="center"/>
    </xf>
    <xf numFmtId="170" fontId="9" fillId="0" borderId="62" xfId="0" applyNumberFormat="1" applyFont="1" applyBorder="1" applyAlignment="1">
      <alignment horizontal="center"/>
    </xf>
    <xf numFmtId="0" fontId="9" fillId="5" borderId="40" xfId="0" applyFont="1" applyFill="1" applyBorder="1" applyAlignment="1" applyProtection="1">
      <alignment horizontal="center"/>
    </xf>
    <xf numFmtId="0" fontId="9" fillId="5" borderId="14" xfId="0" applyFont="1" applyFill="1" applyBorder="1" applyAlignment="1" applyProtection="1">
      <alignment horizontal="center"/>
    </xf>
    <xf numFmtId="0" fontId="9" fillId="5" borderId="5" xfId="0" applyFont="1" applyFill="1" applyBorder="1" applyAlignment="1" applyProtection="1">
      <alignment horizontal="center"/>
    </xf>
    <xf numFmtId="0" fontId="17" fillId="6" borderId="58" xfId="0" applyFont="1" applyFill="1" applyBorder="1" applyAlignment="1">
      <alignment horizontal="center"/>
    </xf>
    <xf numFmtId="0" fontId="17" fillId="6" borderId="61" xfId="0" applyFont="1" applyFill="1" applyBorder="1" applyAlignment="1">
      <alignment horizontal="center"/>
    </xf>
    <xf numFmtId="0" fontId="9" fillId="2" borderId="41" xfId="0" applyFont="1" applyFill="1" applyBorder="1" applyAlignment="1">
      <alignment horizontal="center"/>
    </xf>
    <xf numFmtId="0" fontId="9" fillId="2" borderId="30" xfId="0" applyFont="1" applyFill="1" applyBorder="1" applyAlignment="1">
      <alignment horizontal="center"/>
    </xf>
    <xf numFmtId="0" fontId="9" fillId="5" borderId="27" xfId="0" applyFont="1" applyFill="1" applyBorder="1" applyAlignment="1" applyProtection="1">
      <alignment horizontal="center"/>
    </xf>
    <xf numFmtId="0" fontId="9" fillId="5" borderId="20" xfId="0" applyFont="1" applyFill="1" applyBorder="1" applyAlignment="1" applyProtection="1">
      <alignment horizontal="center"/>
    </xf>
    <xf numFmtId="0" fontId="17" fillId="2" borderId="28" xfId="0" applyFont="1" applyFill="1" applyBorder="1" applyAlignment="1">
      <alignment horizontal="center"/>
    </xf>
    <xf numFmtId="0" fontId="17" fillId="2" borderId="8" xfId="0" applyFont="1" applyFill="1" applyBorder="1" applyAlignment="1">
      <alignment horizontal="center"/>
    </xf>
    <xf numFmtId="0" fontId="17" fillId="2" borderId="9" xfId="0" applyFont="1" applyFill="1" applyBorder="1" applyAlignment="1">
      <alignment horizontal="center"/>
    </xf>
    <xf numFmtId="0" fontId="9" fillId="5" borderId="52" xfId="0" applyFont="1" applyFill="1" applyBorder="1" applyAlignment="1" applyProtection="1">
      <alignment horizontal="center"/>
    </xf>
    <xf numFmtId="0" fontId="9" fillId="5" borderId="38" xfId="0" applyFont="1" applyFill="1" applyBorder="1" applyAlignment="1" applyProtection="1">
      <alignment horizontal="center"/>
    </xf>
    <xf numFmtId="0" fontId="9" fillId="5" borderId="26" xfId="0" applyFont="1" applyFill="1" applyBorder="1" applyAlignment="1" applyProtection="1">
      <alignment horizontal="center"/>
    </xf>
    <xf numFmtId="0" fontId="9" fillId="5" borderId="16" xfId="0" applyFont="1" applyFill="1" applyBorder="1" applyAlignment="1" applyProtection="1">
      <alignment horizontal="center"/>
    </xf>
    <xf numFmtId="2" fontId="9" fillId="2" borderId="63" xfId="0" applyNumberFormat="1" applyFont="1" applyFill="1" applyBorder="1" applyAlignment="1">
      <alignment horizontal="center"/>
    </xf>
    <xf numFmtId="2" fontId="9" fillId="2" borderId="54" xfId="0" applyNumberFormat="1" applyFont="1" applyFill="1" applyBorder="1" applyAlignment="1">
      <alignment horizontal="center"/>
    </xf>
    <xf numFmtId="2" fontId="9" fillId="2" borderId="28" xfId="0" applyNumberFormat="1" applyFont="1" applyFill="1" applyBorder="1" applyAlignment="1">
      <alignment horizontal="center" wrapText="1"/>
    </xf>
    <xf numFmtId="2" fontId="9" fillId="2" borderId="9" xfId="0" applyNumberFormat="1" applyFont="1" applyFill="1" applyBorder="1" applyAlignment="1">
      <alignment horizontal="center" wrapText="1"/>
    </xf>
    <xf numFmtId="0" fontId="9" fillId="2" borderId="28" xfId="0" applyFont="1" applyFill="1" applyBorder="1" applyAlignment="1">
      <alignment horizontal="center"/>
    </xf>
    <xf numFmtId="0" fontId="9" fillId="2" borderId="29" xfId="0" applyFont="1" applyFill="1" applyBorder="1" applyAlignment="1">
      <alignment horizontal="center"/>
    </xf>
    <xf numFmtId="0" fontId="9" fillId="2" borderId="28" xfId="0" applyFont="1" applyFill="1" applyBorder="1" applyAlignment="1">
      <alignment horizontal="center" wrapText="1"/>
    </xf>
    <xf numFmtId="0" fontId="9" fillId="2" borderId="9" xfId="0" applyFont="1" applyFill="1" applyBorder="1" applyAlignment="1">
      <alignment horizontal="center" wrapText="1"/>
    </xf>
    <xf numFmtId="0" fontId="9" fillId="2" borderId="9" xfId="0" applyFont="1" applyFill="1" applyBorder="1" applyAlignment="1">
      <alignment horizontal="center"/>
    </xf>
    <xf numFmtId="0" fontId="9" fillId="2" borderId="41" xfId="0" applyFont="1" applyFill="1" applyBorder="1" applyAlignment="1" applyProtection="1">
      <alignment horizontal="center" wrapText="1"/>
    </xf>
    <xf numFmtId="0" fontId="9" fillId="2" borderId="30" xfId="0" applyFont="1" applyFill="1" applyBorder="1" applyAlignment="1" applyProtection="1">
      <alignment horizontal="center" wrapText="1"/>
    </xf>
    <xf numFmtId="0" fontId="9" fillId="2" borderId="42" xfId="0" applyFont="1" applyFill="1" applyBorder="1" applyAlignment="1">
      <alignment horizontal="center"/>
    </xf>
    <xf numFmtId="0" fontId="9" fillId="2" borderId="8" xfId="0" applyFont="1" applyFill="1" applyBorder="1" applyAlignment="1">
      <alignment horizontal="center"/>
    </xf>
    <xf numFmtId="0" fontId="9" fillId="2" borderId="31" xfId="0" applyFont="1" applyFill="1" applyBorder="1" applyAlignment="1">
      <alignment horizontal="center" wrapText="1"/>
    </xf>
    <xf numFmtId="0" fontId="9" fillId="2" borderId="36" xfId="0" applyFont="1" applyFill="1" applyBorder="1" applyAlignment="1" applyProtection="1">
      <alignment horizontal="center" wrapText="1"/>
    </xf>
    <xf numFmtId="0" fontId="9" fillId="2" borderId="62" xfId="0" applyFont="1" applyFill="1" applyBorder="1" applyAlignment="1" applyProtection="1">
      <alignment horizontal="center" wrapText="1"/>
    </xf>
    <xf numFmtId="0" fontId="17" fillId="6" borderId="36" xfId="0" applyFont="1" applyFill="1" applyBorder="1" applyAlignment="1">
      <alignment horizontal="center"/>
    </xf>
    <xf numFmtId="0" fontId="1" fillId="2" borderId="57" xfId="0" applyFont="1" applyFill="1" applyBorder="1" applyAlignment="1">
      <alignment horizontal="center" wrapText="1"/>
    </xf>
    <xf numFmtId="0" fontId="1" fillId="2" borderId="53" xfId="0" applyFont="1" applyFill="1" applyBorder="1" applyAlignment="1">
      <alignment horizontal="center" wrapText="1"/>
    </xf>
    <xf numFmtId="0" fontId="7" fillId="6" borderId="28" xfId="0" applyFont="1" applyFill="1" applyBorder="1" applyAlignment="1" applyProtection="1">
      <alignment horizontal="center" wrapText="1"/>
    </xf>
    <xf numFmtId="0" fontId="7" fillId="6" borderId="8" xfId="0" applyFont="1" applyFill="1" applyBorder="1" applyAlignment="1" applyProtection="1">
      <alignment horizontal="center" wrapText="1"/>
    </xf>
    <xf numFmtId="0" fontId="7" fillId="6" borderId="9" xfId="0" applyFont="1" applyFill="1" applyBorder="1" applyAlignment="1" applyProtection="1">
      <alignment horizontal="center" wrapText="1"/>
    </xf>
    <xf numFmtId="0" fontId="9" fillId="2" borderId="56" xfId="0" applyFont="1" applyFill="1" applyBorder="1" applyAlignment="1">
      <alignment horizontal="center" wrapText="1"/>
    </xf>
    <xf numFmtId="0" fontId="9" fillId="2" borderId="59" xfId="0" applyFont="1" applyFill="1" applyBorder="1" applyAlignment="1">
      <alignment horizontal="center" wrapText="1"/>
    </xf>
    <xf numFmtId="0" fontId="9" fillId="2" borderId="57" xfId="0" applyFont="1" applyFill="1" applyBorder="1" applyAlignment="1">
      <alignment horizontal="center" wrapText="1"/>
    </xf>
    <xf numFmtId="0" fontId="9" fillId="2" borderId="53" xfId="0" applyFont="1" applyFill="1" applyBorder="1" applyAlignment="1">
      <alignment horizontal="center" wrapText="1"/>
    </xf>
    <xf numFmtId="0" fontId="9" fillId="2" borderId="46" xfId="0" applyFont="1" applyFill="1" applyBorder="1" applyAlignment="1">
      <alignment horizontal="center" wrapText="1"/>
    </xf>
    <xf numFmtId="0" fontId="9" fillId="2" borderId="44" xfId="0" applyFont="1" applyFill="1" applyBorder="1" applyAlignment="1">
      <alignment horizontal="center" wrapText="1"/>
    </xf>
    <xf numFmtId="0" fontId="9" fillId="2" borderId="63" xfId="0" applyFont="1" applyFill="1" applyBorder="1" applyAlignment="1">
      <alignment horizontal="center" wrapText="1"/>
    </xf>
    <xf numFmtId="0" fontId="9" fillId="2" borderId="54" xfId="0" applyFont="1" applyFill="1" applyBorder="1" applyAlignment="1">
      <alignment horizontal="center" wrapText="1"/>
    </xf>
    <xf numFmtId="0" fontId="9" fillId="2" borderId="31" xfId="0" applyFont="1" applyFill="1" applyBorder="1" applyAlignment="1">
      <alignment horizontal="center"/>
    </xf>
    <xf numFmtId="168" fontId="9" fillId="2" borderId="41" xfId="0" applyNumberFormat="1" applyFont="1" applyFill="1" applyBorder="1" applyAlignment="1">
      <alignment horizontal="center" wrapText="1"/>
    </xf>
    <xf numFmtId="168" fontId="9" fillId="2" borderId="30" xfId="0" applyNumberFormat="1" applyFont="1" applyFill="1" applyBorder="1" applyAlignment="1">
      <alignment horizontal="center" wrapText="1"/>
    </xf>
    <xf numFmtId="0" fontId="9" fillId="2" borderId="49" xfId="0" applyFont="1" applyFill="1" applyBorder="1" applyAlignment="1">
      <alignment horizontal="center" wrapText="1"/>
    </xf>
    <xf numFmtId="0" fontId="9" fillId="2" borderId="60" xfId="0" applyFont="1" applyFill="1" applyBorder="1" applyAlignment="1">
      <alignment horizontal="center" wrapText="1"/>
    </xf>
    <xf numFmtId="0" fontId="9" fillId="0" borderId="0" xfId="0" applyFont="1" applyFill="1" applyBorder="1" applyAlignment="1" applyProtection="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wrapText="1"/>
    </xf>
    <xf numFmtId="0" fontId="1" fillId="0" borderId="0" xfId="0" applyFont="1" applyFill="1" applyBorder="1" applyAlignment="1" applyProtection="1">
      <alignment horizontal="center"/>
    </xf>
    <xf numFmtId="0" fontId="7" fillId="0" borderId="0" xfId="0" applyFont="1" applyFill="1" applyBorder="1" applyAlignment="1">
      <alignment horizontal="center"/>
    </xf>
    <xf numFmtId="0" fontId="8" fillId="0" borderId="0" xfId="0" applyFont="1" applyFill="1" applyBorder="1" applyAlignment="1">
      <alignment horizontal="center"/>
    </xf>
    <xf numFmtId="2" fontId="16" fillId="3" borderId="28" xfId="0" applyNumberFormat="1" applyFont="1" applyFill="1" applyBorder="1" applyAlignment="1">
      <alignment horizontal="center"/>
    </xf>
    <xf numFmtId="2" fontId="16" fillId="3" borderId="8" xfId="0" applyNumberFormat="1" applyFont="1" applyFill="1" applyBorder="1" applyAlignment="1">
      <alignment horizontal="center"/>
    </xf>
    <xf numFmtId="2" fontId="16" fillId="3" borderId="9" xfId="0" applyNumberFormat="1" applyFont="1" applyFill="1" applyBorder="1" applyAlignment="1">
      <alignment horizontal="center"/>
    </xf>
    <xf numFmtId="2" fontId="16" fillId="4" borderId="58" xfId="0" applyNumberFormat="1" applyFont="1" applyFill="1" applyBorder="1" applyAlignment="1">
      <alignment horizontal="right" wrapText="1"/>
    </xf>
    <xf numFmtId="2" fontId="16" fillId="4" borderId="48" xfId="0" applyNumberFormat="1" applyFont="1" applyFill="1" applyBorder="1" applyAlignment="1">
      <alignment horizontal="right" wrapText="1"/>
    </xf>
    <xf numFmtId="2" fontId="16" fillId="3" borderId="28" xfId="0" applyNumberFormat="1" applyFont="1" applyFill="1" applyBorder="1" applyAlignment="1">
      <alignment horizontal="center" wrapText="1"/>
    </xf>
    <xf numFmtId="2" fontId="16" fillId="3" borderId="8" xfId="0" applyNumberFormat="1" applyFont="1" applyFill="1" applyBorder="1" applyAlignment="1">
      <alignment horizontal="center" wrapText="1"/>
    </xf>
    <xf numFmtId="2" fontId="16" fillId="3" borderId="9" xfId="0" applyNumberFormat="1" applyFont="1" applyFill="1" applyBorder="1" applyAlignment="1">
      <alignment horizontal="center" wrapText="1"/>
    </xf>
    <xf numFmtId="2" fontId="16" fillId="4" borderId="61" xfId="0" applyNumberFormat="1" applyFont="1" applyFill="1" applyBorder="1" applyAlignment="1">
      <alignment horizontal="center" wrapText="1"/>
    </xf>
    <xf numFmtId="2" fontId="16" fillId="4" borderId="9" xfId="0" applyNumberFormat="1" applyFont="1" applyFill="1" applyBorder="1" applyAlignment="1">
      <alignment horizontal="center" wrapText="1"/>
    </xf>
    <xf numFmtId="2" fontId="16" fillId="4" borderId="41" xfId="0" applyNumberFormat="1" applyFont="1" applyFill="1" applyBorder="1" applyAlignment="1">
      <alignment horizontal="center" wrapText="1"/>
    </xf>
    <xf numFmtId="2" fontId="16" fillId="4" borderId="31" xfId="0" applyNumberFormat="1" applyFont="1" applyFill="1" applyBorder="1" applyAlignment="1">
      <alignment horizontal="center" wrapText="1"/>
    </xf>
    <xf numFmtId="2" fontId="16" fillId="3" borderId="56" xfId="0" applyNumberFormat="1" applyFont="1" applyFill="1" applyBorder="1" applyAlignment="1">
      <alignment horizontal="center" wrapText="1"/>
    </xf>
    <xf numFmtId="2" fontId="16" fillId="3" borderId="32" xfId="0" applyNumberFormat="1" applyFont="1" applyFill="1" applyBorder="1" applyAlignment="1">
      <alignment horizontal="center" wrapText="1"/>
    </xf>
    <xf numFmtId="1" fontId="16" fillId="7" borderId="28" xfId="0" applyNumberFormat="1" applyFont="1" applyFill="1" applyBorder="1" applyAlignment="1">
      <alignment horizontal="center"/>
    </xf>
    <xf numFmtId="1" fontId="16" fillId="7" borderId="8" xfId="0" applyNumberFormat="1" applyFont="1" applyFill="1" applyBorder="1" applyAlignment="1">
      <alignment horizontal="center"/>
    </xf>
    <xf numFmtId="1" fontId="16" fillId="7" borderId="9" xfId="0" applyNumberFormat="1" applyFont="1" applyFill="1" applyBorder="1" applyAlignment="1">
      <alignment horizontal="center"/>
    </xf>
    <xf numFmtId="2" fontId="16" fillId="4" borderId="28" xfId="0" applyNumberFormat="1" applyFont="1" applyFill="1" applyBorder="1" applyAlignment="1">
      <alignment horizontal="center" wrapText="1"/>
    </xf>
    <xf numFmtId="2" fontId="16" fillId="4" borderId="8" xfId="0" applyNumberFormat="1" applyFont="1" applyFill="1" applyBorder="1" applyAlignment="1">
      <alignment horizontal="center" wrapText="1"/>
    </xf>
    <xf numFmtId="2" fontId="16" fillId="3" borderId="41" xfId="0" applyNumberFormat="1" applyFont="1" applyFill="1" applyBorder="1" applyAlignment="1">
      <alignment horizontal="center"/>
    </xf>
    <xf numFmtId="2" fontId="16" fillId="3" borderId="31" xfId="0" applyNumberFormat="1" applyFont="1" applyFill="1" applyBorder="1" applyAlignment="1">
      <alignment horizontal="center"/>
    </xf>
    <xf numFmtId="2" fontId="16" fillId="4" borderId="43" xfId="0" applyNumberFormat="1" applyFont="1" applyFill="1" applyBorder="1" applyAlignment="1">
      <alignment horizontal="center"/>
    </xf>
    <xf numFmtId="2" fontId="16" fillId="4" borderId="45" xfId="0" applyNumberFormat="1" applyFont="1" applyFill="1" applyBorder="1" applyAlignment="1">
      <alignment horizontal="center"/>
    </xf>
    <xf numFmtId="167" fontId="1" fillId="2" borderId="28" xfId="0" applyNumberFormat="1" applyFont="1" applyFill="1" applyBorder="1" applyAlignment="1">
      <alignment horizontal="right"/>
    </xf>
    <xf numFmtId="167" fontId="9" fillId="2" borderId="8" xfId="0" applyNumberFormat="1" applyFont="1" applyFill="1" applyBorder="1" applyAlignment="1">
      <alignment horizontal="right"/>
    </xf>
    <xf numFmtId="167" fontId="9" fillId="2" borderId="9" xfId="0" applyNumberFormat="1" applyFont="1" applyFill="1" applyBorder="1" applyAlignment="1">
      <alignment horizontal="right"/>
    </xf>
    <xf numFmtId="2" fontId="16" fillId="0" borderId="58" xfId="0" applyNumberFormat="1" applyFont="1" applyBorder="1" applyAlignment="1">
      <alignment horizontal="center"/>
    </xf>
    <xf numFmtId="2" fontId="16" fillId="0" borderId="36" xfId="0" applyNumberFormat="1" applyFont="1" applyBorder="1" applyAlignment="1">
      <alignment horizontal="center"/>
    </xf>
    <xf numFmtId="2" fontId="16" fillId="3" borderId="42" xfId="0" applyNumberFormat="1" applyFont="1" applyFill="1" applyBorder="1" applyAlignment="1">
      <alignment horizontal="center"/>
    </xf>
    <xf numFmtId="1" fontId="16" fillId="0" borderId="58" xfId="0" applyNumberFormat="1" applyFont="1" applyFill="1" applyBorder="1" applyAlignment="1">
      <alignment horizontal="center"/>
    </xf>
    <xf numFmtId="1" fontId="16" fillId="0" borderId="36" xfId="0" applyNumberFormat="1" applyFont="1" applyFill="1" applyBorder="1" applyAlignment="1">
      <alignment horizontal="center"/>
    </xf>
    <xf numFmtId="2" fontId="16" fillId="3" borderId="41" xfId="0" applyNumberFormat="1" applyFont="1" applyFill="1" applyBorder="1" applyAlignment="1">
      <alignment horizontal="center" wrapText="1"/>
    </xf>
    <xf numFmtId="2" fontId="16" fillId="3" borderId="30" xfId="0" applyNumberFormat="1" applyFont="1" applyFill="1" applyBorder="1" applyAlignment="1">
      <alignment horizontal="center" wrapText="1"/>
    </xf>
    <xf numFmtId="1" fontId="16" fillId="0" borderId="58" xfId="0" applyNumberFormat="1" applyFont="1" applyBorder="1" applyAlignment="1">
      <alignment horizontal="center"/>
    </xf>
    <xf numFmtId="1" fontId="16" fillId="0" borderId="36" xfId="0" applyNumberFormat="1" applyFont="1" applyBorder="1" applyAlignment="1">
      <alignment horizontal="center"/>
    </xf>
    <xf numFmtId="2" fontId="16" fillId="4" borderId="43" xfId="0" applyNumberFormat="1" applyFont="1" applyFill="1" applyBorder="1" applyAlignment="1">
      <alignment horizontal="center" wrapText="1"/>
    </xf>
    <xf numFmtId="2" fontId="16" fillId="4" borderId="62" xfId="0" applyNumberFormat="1" applyFont="1" applyFill="1" applyBorder="1" applyAlignment="1">
      <alignment horizontal="center" wrapText="1"/>
    </xf>
    <xf numFmtId="2" fontId="16" fillId="0" borderId="28" xfId="0" applyNumberFormat="1" applyFont="1" applyFill="1" applyBorder="1" applyAlignment="1">
      <alignment horizontal="center"/>
    </xf>
    <xf numFmtId="2" fontId="16" fillId="0" borderId="9" xfId="0" applyNumberFormat="1" applyFont="1" applyFill="1" applyBorder="1" applyAlignment="1">
      <alignment horizontal="center"/>
    </xf>
    <xf numFmtId="2" fontId="16" fillId="4" borderId="28" xfId="0" applyNumberFormat="1" applyFont="1" applyFill="1" applyBorder="1" applyAlignment="1">
      <alignment horizontal="center"/>
    </xf>
    <xf numFmtId="2" fontId="16" fillId="4" borderId="8" xfId="0" applyNumberFormat="1" applyFont="1" applyFill="1" applyBorder="1" applyAlignment="1">
      <alignment horizontal="center"/>
    </xf>
    <xf numFmtId="2" fontId="16" fillId="3" borderId="46" xfId="0" applyNumberFormat="1" applyFont="1" applyFill="1" applyBorder="1" applyAlignment="1">
      <alignment horizontal="center" wrapText="1"/>
    </xf>
    <xf numFmtId="2" fontId="16" fillId="3" borderId="50" xfId="0" applyNumberFormat="1" applyFont="1" applyFill="1" applyBorder="1" applyAlignment="1">
      <alignment horizontal="center" wrapText="1"/>
    </xf>
    <xf numFmtId="2" fontId="16" fillId="3" borderId="63" xfId="0" applyNumberFormat="1" applyFont="1" applyFill="1" applyBorder="1" applyAlignment="1">
      <alignment horizontal="center"/>
    </xf>
    <xf numFmtId="2" fontId="16" fillId="3" borderId="54" xfId="0" applyNumberFormat="1" applyFont="1" applyFill="1" applyBorder="1" applyAlignment="1">
      <alignment horizontal="center"/>
    </xf>
    <xf numFmtId="2" fontId="16" fillId="3" borderId="44" xfId="0" applyNumberFormat="1" applyFont="1" applyFill="1" applyBorder="1" applyAlignment="1">
      <alignment horizontal="center" wrapText="1"/>
    </xf>
    <xf numFmtId="2" fontId="16" fillId="3" borderId="59" xfId="0" applyNumberFormat="1" applyFont="1" applyFill="1" applyBorder="1" applyAlignment="1">
      <alignment horizontal="center" wrapText="1"/>
    </xf>
    <xf numFmtId="2" fontId="16" fillId="4" borderId="48" xfId="0" applyNumberFormat="1" applyFont="1" applyFill="1" applyBorder="1" applyAlignment="1">
      <alignment horizontal="center" vertical="center"/>
    </xf>
    <xf numFmtId="2" fontId="16" fillId="4" borderId="41" xfId="0" applyNumberFormat="1" applyFont="1" applyFill="1" applyBorder="1" applyAlignment="1" applyProtection="1">
      <alignment horizontal="center" wrapText="1"/>
    </xf>
    <xf numFmtId="2" fontId="16" fillId="4" borderId="30" xfId="0" applyNumberFormat="1" applyFont="1" applyFill="1" applyBorder="1" applyAlignment="1" applyProtection="1">
      <alignment horizontal="center" wrapText="1"/>
    </xf>
    <xf numFmtId="2" fontId="16" fillId="4" borderId="30" xfId="0" applyNumberFormat="1" applyFont="1" applyFill="1" applyBorder="1" applyAlignment="1">
      <alignment horizontal="center" wrapText="1"/>
    </xf>
    <xf numFmtId="2" fontId="16" fillId="3" borderId="8" xfId="0" applyNumberFormat="1" applyFont="1" applyFill="1" applyBorder="1" applyAlignment="1" applyProtection="1">
      <alignment horizontal="center" wrapText="1"/>
    </xf>
    <xf numFmtId="2" fontId="16" fillId="3" borderId="9" xfId="0" applyNumberFormat="1" applyFont="1" applyFill="1" applyBorder="1" applyAlignment="1" applyProtection="1">
      <alignment horizontal="center" wrapText="1"/>
    </xf>
    <xf numFmtId="2" fontId="16" fillId="4" borderId="28" xfId="0" applyNumberFormat="1" applyFont="1" applyFill="1" applyBorder="1" applyAlignment="1" applyProtection="1">
      <alignment horizontal="center" wrapText="1"/>
    </xf>
    <xf numFmtId="2" fontId="16" fillId="4" borderId="8" xfId="0" applyNumberFormat="1" applyFont="1" applyFill="1" applyBorder="1" applyAlignment="1" applyProtection="1">
      <alignment horizontal="center" wrapText="1"/>
    </xf>
    <xf numFmtId="2" fontId="16" fillId="4" borderId="9" xfId="0" applyNumberFormat="1" applyFont="1" applyFill="1" applyBorder="1" applyAlignment="1" applyProtection="1">
      <alignment horizontal="center" wrapText="1"/>
    </xf>
    <xf numFmtId="2" fontId="16" fillId="2" borderId="36" xfId="0" applyNumberFormat="1" applyFont="1" applyFill="1" applyBorder="1" applyAlignment="1">
      <alignment horizontal="center" wrapText="1"/>
    </xf>
    <xf numFmtId="2" fontId="16" fillId="2" borderId="34" xfId="0" applyNumberFormat="1" applyFont="1" applyFill="1" applyBorder="1" applyAlignment="1">
      <alignment horizontal="center" wrapText="1"/>
    </xf>
    <xf numFmtId="2" fontId="16" fillId="2" borderId="62" xfId="0" applyNumberFormat="1" applyFont="1" applyFill="1" applyBorder="1" applyAlignment="1">
      <alignment horizontal="center" wrapText="1"/>
    </xf>
    <xf numFmtId="2" fontId="16" fillId="4" borderId="36" xfId="0" applyNumberFormat="1" applyFont="1" applyFill="1" applyBorder="1" applyAlignment="1">
      <alignment horizontal="center" wrapText="1"/>
    </xf>
  </cellXfs>
  <cellStyles count="45">
    <cellStyle name="20% - הדגשה1" xfId="1" builtinId="30" customBuiltin="1"/>
    <cellStyle name="20% - הדגשה2" xfId="2" builtinId="34" customBuiltin="1"/>
    <cellStyle name="20% - הדגשה3" xfId="3" builtinId="38" customBuiltin="1"/>
    <cellStyle name="20% - הדגשה4" xfId="4" builtinId="42" customBuiltin="1"/>
    <cellStyle name="20% - הדגשה5" xfId="5" builtinId="46" customBuiltin="1"/>
    <cellStyle name="20% - הדגשה6" xfId="6" builtinId="50" customBuiltin="1"/>
    <cellStyle name="40% - הדגשה1" xfId="7" builtinId="31" customBuiltin="1"/>
    <cellStyle name="40% - הדגשה2" xfId="8" builtinId="35" customBuiltin="1"/>
    <cellStyle name="40% - הדגשה3" xfId="9" builtinId="39" customBuiltin="1"/>
    <cellStyle name="40% - הדגשה4" xfId="10" builtinId="43" customBuiltin="1"/>
    <cellStyle name="40% - הדגשה5" xfId="11" builtinId="47" customBuiltin="1"/>
    <cellStyle name="40% - הדגשה6" xfId="12" builtinId="51" customBuiltin="1"/>
    <cellStyle name="60% - הדגשה1" xfId="13" builtinId="32" customBuiltin="1"/>
    <cellStyle name="60% - הדגשה2" xfId="14" builtinId="36" customBuiltin="1"/>
    <cellStyle name="60% - הדגשה3" xfId="15" builtinId="40" customBuiltin="1"/>
    <cellStyle name="60% - הדגשה4" xfId="16" builtinId="44" customBuiltin="1"/>
    <cellStyle name="60% - הדגשה5" xfId="17" builtinId="48" customBuiltin="1"/>
    <cellStyle name="60% - הדגשה6" xfId="18" builtinId="52" customBuiltin="1"/>
    <cellStyle name="Comma" xfId="28" builtinId="3"/>
    <cellStyle name="Normal" xfId="0" builtinId="0"/>
    <cellStyle name="Normal 2" xfId="38" xr:uid="{00000000-0005-0000-0000-000026000000}"/>
    <cellStyle name="Note 2" xfId="39" xr:uid="{00000000-0005-0000-0000-000027000000}"/>
    <cellStyle name="Percent" xfId="41" builtinId="5"/>
    <cellStyle name="Title 2" xfId="42" xr:uid="{00000000-0005-0000-0000-00002A000000}"/>
    <cellStyle name="הדגשה1" xfId="19" builtinId="29" customBuiltin="1"/>
    <cellStyle name="הדגשה2" xfId="20" builtinId="33" customBuiltin="1"/>
    <cellStyle name="הדגשה3" xfId="21" builtinId="37" customBuiltin="1"/>
    <cellStyle name="הדגשה4" xfId="22" builtinId="41" customBuiltin="1"/>
    <cellStyle name="הדגשה5" xfId="23" builtinId="45" customBuiltin="1"/>
    <cellStyle name="הדגשה6" xfId="24" builtinId="49" customBuiltin="1"/>
    <cellStyle name="חישוב" xfId="26" builtinId="22" customBuiltin="1"/>
    <cellStyle name="טוב" xfId="30" builtinId="26" customBuiltin="1"/>
    <cellStyle name="טקסט אזהרה" xfId="44" builtinId="11" customBuiltin="1"/>
    <cellStyle name="טקסט הסברי" xfId="29" builtinId="53" customBuiltin="1"/>
    <cellStyle name="כותרת 1" xfId="31" builtinId="16" customBuiltin="1"/>
    <cellStyle name="כותרת 2" xfId="32" builtinId="17" customBuiltin="1"/>
    <cellStyle name="כותרת 3" xfId="33" builtinId="18" customBuiltin="1"/>
    <cellStyle name="כותרת 4" xfId="34" builtinId="19" customBuiltin="1"/>
    <cellStyle name="ניטראלי" xfId="37" builtinId="28" customBuiltin="1"/>
    <cellStyle name="סה&quot;כ" xfId="43" builtinId="25" customBuiltin="1"/>
    <cellStyle name="פלט" xfId="40" builtinId="21" customBuiltin="1"/>
    <cellStyle name="קלט" xfId="35" builtinId="20" customBuiltin="1"/>
    <cellStyle name="רע" xfId="25" builtinId="27" customBuiltin="1"/>
    <cellStyle name="תא מסומן" xfId="27" builtinId="23" customBuiltin="1"/>
    <cellStyle name="תא מקושר" xfId="36" builtinId="24"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ספיקות!$B$4</c:f>
              <c:strCache>
                <c:ptCount val="1"/>
                <c:pt idx="0">
                  <c:v>ספיקה חודשית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ספיקות!$A$6:$A$17</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c:v>
                </c:pt>
              </c:strCache>
            </c:strRef>
          </c:cat>
          <c:val>
            <c:numRef>
              <c:f>ספיקות!$B$6:$B$17</c:f>
              <c:numCache>
                <c:formatCode>#,##0</c:formatCode>
                <c:ptCount val="12"/>
                <c:pt idx="0">
                  <c:v>37600</c:v>
                </c:pt>
                <c:pt idx="1">
                  <c:v>37980</c:v>
                </c:pt>
                <c:pt idx="2">
                  <c:v>41914</c:v>
                </c:pt>
                <c:pt idx="3">
                  <c:v>40001</c:v>
                </c:pt>
                <c:pt idx="4">
                  <c:v>40685</c:v>
                </c:pt>
                <c:pt idx="5">
                  <c:v>40883</c:v>
                </c:pt>
                <c:pt idx="6">
                  <c:v>40342</c:v>
                </c:pt>
                <c:pt idx="7">
                  <c:v>37058</c:v>
                </c:pt>
                <c:pt idx="8">
                  <c:v>35596</c:v>
                </c:pt>
                <c:pt idx="9">
                  <c:v>39451</c:v>
                </c:pt>
                <c:pt idx="10">
                  <c:v>37242</c:v>
                </c:pt>
                <c:pt idx="11">
                  <c:v>41979</c:v>
                </c:pt>
              </c:numCache>
            </c:numRef>
          </c:val>
          <c:smooth val="0"/>
          <c:extLst>
            <c:ext xmlns:c16="http://schemas.microsoft.com/office/drawing/2014/chart" uri="{C3380CC4-5D6E-409C-BE32-E72D297353CC}">
              <c16:uniqueId val="{00000004-C3F6-4765-9633-113DF462046F}"/>
            </c:ext>
          </c:extLst>
        </c:ser>
        <c:ser>
          <c:idx val="1"/>
          <c:order val="1"/>
          <c:tx>
            <c:strRef>
              <c:f>ספיקות!$D$4</c:f>
              <c:strCache>
                <c:ptCount val="1"/>
                <c:pt idx="0">
                  <c:v>ספיקה חודשית סינון</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ספיקות!$D$6:$D$17</c:f>
              <c:numCache>
                <c:formatCode>#,##0</c:formatCode>
                <c:ptCount val="12"/>
                <c:pt idx="0">
                  <c:v>19082</c:v>
                </c:pt>
                <c:pt idx="1">
                  <c:v>8017</c:v>
                </c:pt>
                <c:pt idx="2">
                  <c:v>13123</c:v>
                </c:pt>
                <c:pt idx="3">
                  <c:v>30166</c:v>
                </c:pt>
                <c:pt idx="4">
                  <c:v>32839</c:v>
                </c:pt>
                <c:pt idx="5">
                  <c:v>32886</c:v>
                </c:pt>
                <c:pt idx="6">
                  <c:v>41801</c:v>
                </c:pt>
                <c:pt idx="7">
                  <c:v>40426</c:v>
                </c:pt>
                <c:pt idx="8">
                  <c:v>34322</c:v>
                </c:pt>
                <c:pt idx="9">
                  <c:v>33620</c:v>
                </c:pt>
                <c:pt idx="10">
                  <c:v>24958</c:v>
                </c:pt>
                <c:pt idx="11">
                  <c:v>15718</c:v>
                </c:pt>
              </c:numCache>
            </c:numRef>
          </c:val>
          <c:smooth val="0"/>
          <c:extLst>
            <c:ext xmlns:c16="http://schemas.microsoft.com/office/drawing/2014/chart" uri="{C3380CC4-5D6E-409C-BE32-E72D297353CC}">
              <c16:uniqueId val="{00000005-C3F6-4765-9633-113DF462046F}"/>
            </c:ext>
          </c:extLst>
        </c:ser>
        <c:ser>
          <c:idx val="2"/>
          <c:order val="2"/>
          <c:tx>
            <c:strRef>
              <c:f>ספיקות!$E$3</c:f>
              <c:strCache>
                <c:ptCount val="1"/>
                <c:pt idx="0">
                  <c:v>קולחין שלישוני-השקיה</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ספיקות!$E$6:$E$17</c:f>
              <c:numCache>
                <c:formatCode>#,##0</c:formatCode>
                <c:ptCount val="12"/>
                <c:pt idx="0">
                  <c:v>19082</c:v>
                </c:pt>
                <c:pt idx="1">
                  <c:v>8017</c:v>
                </c:pt>
                <c:pt idx="2">
                  <c:v>13123</c:v>
                </c:pt>
                <c:pt idx="3">
                  <c:v>30166</c:v>
                </c:pt>
                <c:pt idx="4">
                  <c:v>32839</c:v>
                </c:pt>
                <c:pt idx="5">
                  <c:v>32886</c:v>
                </c:pt>
                <c:pt idx="6">
                  <c:v>41801</c:v>
                </c:pt>
                <c:pt idx="7">
                  <c:v>40426</c:v>
                </c:pt>
                <c:pt idx="8">
                  <c:v>34322</c:v>
                </c:pt>
                <c:pt idx="9">
                  <c:v>33620</c:v>
                </c:pt>
                <c:pt idx="10">
                  <c:v>24958</c:v>
                </c:pt>
                <c:pt idx="11">
                  <c:v>15718</c:v>
                </c:pt>
              </c:numCache>
            </c:numRef>
          </c:val>
          <c:smooth val="0"/>
          <c:extLst>
            <c:ext xmlns:c16="http://schemas.microsoft.com/office/drawing/2014/chart" uri="{C3380CC4-5D6E-409C-BE32-E72D297353CC}">
              <c16:uniqueId val="{00000006-C3F6-4765-9633-113DF462046F}"/>
            </c:ext>
          </c:extLst>
        </c:ser>
        <c:dLbls>
          <c:showLegendKey val="0"/>
          <c:showVal val="0"/>
          <c:showCatName val="0"/>
          <c:showSerName val="0"/>
          <c:showPercent val="0"/>
          <c:showBubbleSize val="0"/>
        </c:dLbls>
        <c:marker val="1"/>
        <c:smooth val="0"/>
        <c:axId val="444490600"/>
        <c:axId val="444490928"/>
      </c:lineChart>
      <c:catAx>
        <c:axId val="44449060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444490928"/>
        <c:crosses val="autoZero"/>
        <c:auto val="1"/>
        <c:lblAlgn val="ctr"/>
        <c:lblOffset val="100"/>
        <c:noMultiLvlLbl val="0"/>
      </c:catAx>
      <c:valAx>
        <c:axId val="444490928"/>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444490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he-IL"/>
              <a:t>גרף ספיקות מט"ש להבים</a:t>
            </a:r>
          </a:p>
        </c:rich>
      </c:tx>
      <c:layout>
        <c:manualLayout>
          <c:xMode val="edge"/>
          <c:yMode val="edge"/>
          <c:x val="0.39557765353040941"/>
          <c:y val="3.0364372469635626E-2"/>
        </c:manualLayout>
      </c:layout>
      <c:overlay val="0"/>
      <c:spPr>
        <a:noFill/>
        <a:ln w="25400">
          <a:noFill/>
        </a:ln>
      </c:spPr>
    </c:title>
    <c:autoTitleDeleted val="0"/>
    <c:plotArea>
      <c:layout>
        <c:manualLayout>
          <c:layoutTarget val="inner"/>
          <c:xMode val="edge"/>
          <c:yMode val="edge"/>
          <c:x val="0.10196566313012463"/>
          <c:y val="0.14979757085020243"/>
          <c:w val="0.7972977755596492"/>
          <c:h val="0.66194331983805665"/>
        </c:manualLayout>
      </c:layout>
      <c:lineChart>
        <c:grouping val="standard"/>
        <c:varyColors val="0"/>
        <c:ser>
          <c:idx val="0"/>
          <c:order val="1"/>
          <c:tx>
            <c:strRef>
              <c:f>ספיקות!$D$3:$D$3</c:f>
              <c:strCache>
                <c:ptCount val="1"/>
                <c:pt idx="0">
                  <c:v>סינון</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ספיקות!$A$6:$A$17</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c:v>
                </c:pt>
              </c:strCache>
            </c:strRef>
          </c:cat>
          <c:val>
            <c:numRef>
              <c:f>ספיקות!$D$6:$D$17</c:f>
              <c:numCache>
                <c:formatCode>#,##0</c:formatCode>
                <c:ptCount val="12"/>
                <c:pt idx="0">
                  <c:v>19082</c:v>
                </c:pt>
                <c:pt idx="1">
                  <c:v>8017</c:v>
                </c:pt>
                <c:pt idx="2">
                  <c:v>13123</c:v>
                </c:pt>
                <c:pt idx="3">
                  <c:v>30166</c:v>
                </c:pt>
                <c:pt idx="4">
                  <c:v>32839</c:v>
                </c:pt>
                <c:pt idx="5">
                  <c:v>32886</c:v>
                </c:pt>
                <c:pt idx="6">
                  <c:v>41801</c:v>
                </c:pt>
                <c:pt idx="7">
                  <c:v>40426</c:v>
                </c:pt>
                <c:pt idx="8">
                  <c:v>34322</c:v>
                </c:pt>
                <c:pt idx="9">
                  <c:v>33620</c:v>
                </c:pt>
                <c:pt idx="10">
                  <c:v>24958</c:v>
                </c:pt>
                <c:pt idx="11">
                  <c:v>15718</c:v>
                </c:pt>
              </c:numCache>
            </c:numRef>
          </c:val>
          <c:smooth val="0"/>
          <c:extLst>
            <c:ext xmlns:c16="http://schemas.microsoft.com/office/drawing/2014/chart" uri="{C3380CC4-5D6E-409C-BE32-E72D297353CC}">
              <c16:uniqueId val="{00000000-8290-4E1E-AA38-1F2B6A375440}"/>
            </c:ext>
          </c:extLst>
        </c:ser>
        <c:ser>
          <c:idx val="2"/>
          <c:order val="2"/>
          <c:tx>
            <c:strRef>
              <c:f>ספיקות!$E$3:$F$3</c:f>
              <c:strCache>
                <c:ptCount val="1"/>
                <c:pt idx="0">
                  <c:v>קולחין שלישוני-השקיה</c:v>
                </c:pt>
              </c:strCache>
            </c:strRef>
          </c:tx>
          <c:spPr>
            <a:ln w="25400">
              <a:solidFill>
                <a:srgbClr val="FF0000"/>
              </a:solidFill>
              <a:prstDash val="solid"/>
            </a:ln>
          </c:spPr>
          <c:marker>
            <c:symbol val="triangle"/>
            <c:size val="7"/>
            <c:spPr>
              <a:solidFill>
                <a:srgbClr val="FF0000"/>
              </a:solidFill>
              <a:ln>
                <a:solidFill>
                  <a:srgbClr val="FF0000"/>
                </a:solidFill>
                <a:prstDash val="solid"/>
              </a:ln>
            </c:spPr>
          </c:marker>
          <c:cat>
            <c:strRef>
              <c:f>ספיקות!$A$6:$A$17</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c:v>
                </c:pt>
              </c:strCache>
            </c:strRef>
          </c:cat>
          <c:val>
            <c:numRef>
              <c:f>ספיקות!$E$6:$E$17</c:f>
              <c:numCache>
                <c:formatCode>#,##0</c:formatCode>
                <c:ptCount val="12"/>
                <c:pt idx="0">
                  <c:v>19082</c:v>
                </c:pt>
                <c:pt idx="1">
                  <c:v>8017</c:v>
                </c:pt>
                <c:pt idx="2">
                  <c:v>13123</c:v>
                </c:pt>
                <c:pt idx="3">
                  <c:v>30166</c:v>
                </c:pt>
                <c:pt idx="4">
                  <c:v>32839</c:v>
                </c:pt>
                <c:pt idx="5">
                  <c:v>32886</c:v>
                </c:pt>
                <c:pt idx="6">
                  <c:v>41801</c:v>
                </c:pt>
                <c:pt idx="7">
                  <c:v>40426</c:v>
                </c:pt>
                <c:pt idx="8">
                  <c:v>34322</c:v>
                </c:pt>
                <c:pt idx="9">
                  <c:v>33620</c:v>
                </c:pt>
                <c:pt idx="10">
                  <c:v>24958</c:v>
                </c:pt>
                <c:pt idx="11">
                  <c:v>15718</c:v>
                </c:pt>
              </c:numCache>
            </c:numRef>
          </c:val>
          <c:smooth val="0"/>
          <c:extLst>
            <c:ext xmlns:c16="http://schemas.microsoft.com/office/drawing/2014/chart" uri="{C3380CC4-5D6E-409C-BE32-E72D297353CC}">
              <c16:uniqueId val="{00000001-8290-4E1E-AA38-1F2B6A375440}"/>
            </c:ext>
          </c:extLst>
        </c:ser>
        <c:dLbls>
          <c:showLegendKey val="0"/>
          <c:showVal val="0"/>
          <c:showCatName val="0"/>
          <c:showSerName val="0"/>
          <c:showPercent val="0"/>
          <c:showBubbleSize val="0"/>
        </c:dLbls>
        <c:marker val="1"/>
        <c:smooth val="0"/>
        <c:axId val="574950704"/>
        <c:axId val="1"/>
      </c:lineChart>
      <c:lineChart>
        <c:grouping val="standard"/>
        <c:varyColors val="0"/>
        <c:ser>
          <c:idx val="1"/>
          <c:order val="0"/>
          <c:tx>
            <c:strRef>
              <c:f>ספיקות!$B$3:$C$3</c:f>
              <c:strCache>
                <c:ptCount val="1"/>
                <c:pt idx="0">
                  <c:v>שפכים</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cat>
            <c:strRef>
              <c:f>ספיקות!$A$6:$A$17</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c:v>
                </c:pt>
              </c:strCache>
            </c:strRef>
          </c:cat>
          <c:val>
            <c:numRef>
              <c:f>ספיקות!$B$6:$B$17</c:f>
              <c:numCache>
                <c:formatCode>#,##0</c:formatCode>
                <c:ptCount val="12"/>
                <c:pt idx="0">
                  <c:v>37600</c:v>
                </c:pt>
                <c:pt idx="1">
                  <c:v>37980</c:v>
                </c:pt>
                <c:pt idx="2">
                  <c:v>41914</c:v>
                </c:pt>
                <c:pt idx="3">
                  <c:v>40001</c:v>
                </c:pt>
                <c:pt idx="4">
                  <c:v>40685</c:v>
                </c:pt>
                <c:pt idx="5">
                  <c:v>40883</c:v>
                </c:pt>
                <c:pt idx="6">
                  <c:v>40342</c:v>
                </c:pt>
                <c:pt idx="7">
                  <c:v>37058</c:v>
                </c:pt>
                <c:pt idx="8">
                  <c:v>35596</c:v>
                </c:pt>
                <c:pt idx="9">
                  <c:v>39451</c:v>
                </c:pt>
                <c:pt idx="10">
                  <c:v>37242</c:v>
                </c:pt>
                <c:pt idx="11">
                  <c:v>41979</c:v>
                </c:pt>
              </c:numCache>
            </c:numRef>
          </c:val>
          <c:smooth val="0"/>
          <c:extLst>
            <c:ext xmlns:c16="http://schemas.microsoft.com/office/drawing/2014/chart" uri="{C3380CC4-5D6E-409C-BE32-E72D297353CC}">
              <c16:uniqueId val="{00000002-8290-4E1E-AA38-1F2B6A375440}"/>
            </c:ext>
          </c:extLst>
        </c:ser>
        <c:dLbls>
          <c:showLegendKey val="0"/>
          <c:showVal val="0"/>
          <c:showCatName val="0"/>
          <c:showSerName val="0"/>
          <c:showPercent val="0"/>
          <c:showBubbleSize val="0"/>
        </c:dLbls>
        <c:marker val="1"/>
        <c:smooth val="0"/>
        <c:axId val="3"/>
        <c:axId val="4"/>
      </c:lineChart>
      <c:catAx>
        <c:axId val="574950704"/>
        <c:scaling>
          <c:orientation val="maxMin"/>
        </c:scaling>
        <c:delete val="0"/>
        <c:axPos val="b"/>
        <c:title>
          <c:tx>
            <c:rich>
              <a:bodyPr/>
              <a:lstStyle/>
              <a:p>
                <a:pPr>
                  <a:defRPr sz="1000" b="1" i="0" u="none" strike="noStrike" baseline="0">
                    <a:solidFill>
                      <a:srgbClr val="000000"/>
                    </a:solidFill>
                    <a:latin typeface="Arial"/>
                    <a:ea typeface="Arial"/>
                    <a:cs typeface="Arial"/>
                  </a:defRPr>
                </a:pPr>
                <a:r>
                  <a:rPr lang="he-IL"/>
                  <a:t>חודש
</a:t>
                </a:r>
              </a:p>
            </c:rich>
          </c:tx>
          <c:layout>
            <c:manualLayout>
              <c:xMode val="edge"/>
              <c:yMode val="edge"/>
              <c:x val="0.4799347378874938"/>
              <c:y val="0.8771929824561403"/>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he-IL"/>
          </a:p>
        </c:txPr>
        <c:crossAx val="1"/>
        <c:crosses val="autoZero"/>
        <c:auto val="0"/>
        <c:lblAlgn val="ctr"/>
        <c:lblOffset val="100"/>
        <c:tickLblSkip val="1"/>
        <c:tickMarkSkip val="1"/>
        <c:noMultiLvlLbl val="0"/>
      </c:catAx>
      <c:valAx>
        <c:axId val="1"/>
        <c:scaling>
          <c:orientation val="minMax"/>
        </c:scaling>
        <c:delete val="0"/>
        <c:axPos val="r"/>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he-IL"/>
                  <a:t>השקייה-סינון מ"ק/חודש</a:t>
                </a:r>
              </a:p>
            </c:rich>
          </c:tx>
          <c:layout>
            <c:manualLayout>
              <c:xMode val="edge"/>
              <c:yMode val="edge"/>
              <c:x val="0.96642148232699399"/>
              <c:y val="0.74478417393771723"/>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he-IL"/>
          </a:p>
        </c:txPr>
        <c:crossAx val="574950704"/>
        <c:crosses val="autoZero"/>
        <c:crossBetween val="between"/>
      </c:valAx>
      <c:catAx>
        <c:axId val="3"/>
        <c:scaling>
          <c:orientation val="maxMin"/>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he-IL"/>
                  <a:t>שפכים מ"ק/חודש</a:t>
                </a:r>
              </a:p>
            </c:rich>
          </c:tx>
          <c:layout>
            <c:manualLayout>
              <c:xMode val="edge"/>
              <c:yMode val="edge"/>
              <c:x val="2.2932022932022931E-2"/>
              <c:y val="0.75978407557354921"/>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he-IL"/>
          </a:p>
        </c:txPr>
        <c:crossAx val="3"/>
        <c:crosses val="max"/>
        <c:crossBetween val="between"/>
      </c:valAx>
      <c:spPr>
        <a:solidFill>
          <a:srgbClr val="C0C0C0"/>
        </a:solidFill>
        <a:ln w="12700">
          <a:solidFill>
            <a:srgbClr val="808080"/>
          </a:solidFill>
          <a:prstDash val="solid"/>
        </a:ln>
      </c:spPr>
    </c:plotArea>
    <c:legend>
      <c:legendPos val="b"/>
      <c:legendEntry>
        <c:idx val="0"/>
        <c:txPr>
          <a:bodyPr/>
          <a:lstStyle/>
          <a:p>
            <a:pPr>
              <a:defRPr sz="900" b="0" i="0" u="none" strike="noStrike" baseline="0">
                <a:solidFill>
                  <a:srgbClr val="000000"/>
                </a:solidFill>
                <a:latin typeface="Arial"/>
                <a:ea typeface="Arial"/>
                <a:cs typeface="Arial"/>
              </a:defRPr>
            </a:pPr>
            <a:endParaRPr lang="he-IL"/>
          </a:p>
        </c:txPr>
      </c:legendEntry>
      <c:legendEntry>
        <c:idx val="1"/>
        <c:txPr>
          <a:bodyPr/>
          <a:lstStyle/>
          <a:p>
            <a:pPr>
              <a:defRPr sz="900" b="0" i="0" u="none" strike="noStrike" baseline="0">
                <a:solidFill>
                  <a:srgbClr val="000000"/>
                </a:solidFill>
                <a:latin typeface="Arial"/>
                <a:ea typeface="Arial"/>
                <a:cs typeface="Arial"/>
              </a:defRPr>
            </a:pPr>
            <a:endParaRPr lang="he-IL"/>
          </a:p>
        </c:txPr>
      </c:legendEntry>
      <c:legendEntry>
        <c:idx val="2"/>
        <c:txPr>
          <a:bodyPr/>
          <a:lstStyle/>
          <a:p>
            <a:pPr>
              <a:defRPr sz="900" b="0" i="0" u="none" strike="noStrike" baseline="0">
                <a:solidFill>
                  <a:srgbClr val="000000"/>
                </a:solidFill>
                <a:latin typeface="Arial"/>
                <a:ea typeface="Arial"/>
                <a:cs typeface="Arial"/>
              </a:defRPr>
            </a:pPr>
            <a:endParaRPr lang="he-IL"/>
          </a:p>
        </c:txPr>
      </c:legendEntry>
      <c:layout>
        <c:manualLayout>
          <c:xMode val="edge"/>
          <c:yMode val="edge"/>
          <c:x val="9.3775851728607626E-2"/>
          <c:y val="0.91697666170107117"/>
          <c:w val="0.86117961913237517"/>
          <c:h val="4.8582995951417018E-2"/>
        </c:manualLayout>
      </c:layout>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he-I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he-IL"/>
    </a:p>
  </c:txPr>
  <c:printSettings>
    <c:headerFooter alignWithMargins="0">
      <c:oddHeader>&amp;A</c:oddHeader>
      <c:oddFooter>Page &amp;P</c:oddFooter>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he-IL"/>
              <a:t>
גרף צריכת אנרגיה ביחס לספיקה ועומס אורגני מט"ש להבים</a:t>
            </a:r>
          </a:p>
        </c:rich>
      </c:tx>
      <c:layout>
        <c:manualLayout>
          <c:xMode val="edge"/>
          <c:yMode val="edge"/>
          <c:x val="0.21659075177497325"/>
          <c:y val="1.9839725357524225E-3"/>
        </c:manualLayout>
      </c:layout>
      <c:overlay val="0"/>
      <c:spPr>
        <a:noFill/>
        <a:ln w="25400">
          <a:noFill/>
        </a:ln>
      </c:spPr>
    </c:title>
    <c:autoTitleDeleted val="0"/>
    <c:plotArea>
      <c:layout>
        <c:manualLayout>
          <c:layoutTarget val="inner"/>
          <c:xMode val="edge"/>
          <c:yMode val="edge"/>
          <c:x val="7.221546543630078E-2"/>
          <c:y val="0.13095263468934984"/>
          <c:w val="0.86536159429601101"/>
          <c:h val="0.61706468770284539"/>
        </c:manualLayout>
      </c:layout>
      <c:lineChart>
        <c:grouping val="standard"/>
        <c:varyColors val="0"/>
        <c:ser>
          <c:idx val="1"/>
          <c:order val="0"/>
          <c:tx>
            <c:v>צריכת אנרגיה ממוצע קוו"ש/חודש</c:v>
          </c:tx>
          <c:spPr>
            <a:ln w="25400">
              <a:solidFill>
                <a:srgbClr val="FF00FF"/>
              </a:solidFill>
              <a:prstDash val="solid"/>
            </a:ln>
          </c:spPr>
          <c:marker>
            <c:symbol val="square"/>
            <c:size val="7"/>
            <c:spPr>
              <a:solidFill>
                <a:srgbClr val="FF00FF"/>
              </a:solidFill>
              <a:ln>
                <a:solidFill>
                  <a:srgbClr val="FF00FF"/>
                </a:solidFill>
                <a:prstDash val="solid"/>
              </a:ln>
            </c:spPr>
          </c:marker>
          <c:val>
            <c:numRef>
              <c:f>'עומסי שפכים וצריכת אנרגיה'!$M$7:$M$18</c:f>
              <c:numCache>
                <c:formatCode>#,##0</c:formatCode>
                <c:ptCount val="12"/>
                <c:pt idx="0">
                  <c:v>39768</c:v>
                </c:pt>
                <c:pt idx="1">
                  <c:v>27594</c:v>
                </c:pt>
                <c:pt idx="2">
                  <c:v>34920</c:v>
                </c:pt>
                <c:pt idx="3">
                  <c:v>51588</c:v>
                </c:pt>
                <c:pt idx="4">
                  <c:v>55038</c:v>
                </c:pt>
                <c:pt idx="5">
                  <c:v>52926</c:v>
                </c:pt>
                <c:pt idx="6">
                  <c:v>62232</c:v>
                </c:pt>
                <c:pt idx="7">
                  <c:v>74034</c:v>
                </c:pt>
                <c:pt idx="8">
                  <c:v>57750</c:v>
                </c:pt>
                <c:pt idx="9">
                  <c:v>46212</c:v>
                </c:pt>
                <c:pt idx="10">
                  <c:v>49914</c:v>
                </c:pt>
                <c:pt idx="11">
                  <c:v>42648</c:v>
                </c:pt>
              </c:numCache>
            </c:numRef>
          </c:val>
          <c:smooth val="0"/>
          <c:extLst>
            <c:ext xmlns:c16="http://schemas.microsoft.com/office/drawing/2014/chart" uri="{C3380CC4-5D6E-409C-BE32-E72D297353CC}">
              <c16:uniqueId val="{00000000-1824-46E5-9FD7-950BBBB4F8BC}"/>
            </c:ext>
          </c:extLst>
        </c:ser>
        <c:dLbls>
          <c:showLegendKey val="0"/>
          <c:showVal val="0"/>
          <c:showCatName val="0"/>
          <c:showSerName val="0"/>
          <c:showPercent val="0"/>
          <c:showBubbleSize val="0"/>
        </c:dLbls>
        <c:marker val="1"/>
        <c:smooth val="0"/>
        <c:axId val="574948736"/>
        <c:axId val="1"/>
      </c:lineChart>
      <c:lineChart>
        <c:grouping val="standard"/>
        <c:varyColors val="0"/>
        <c:ser>
          <c:idx val="0"/>
          <c:order val="1"/>
          <c:tx>
            <c:v>צריכת אנרגיה סגולית קוו"ש/מ"ק</c:v>
          </c:tx>
          <c:spPr>
            <a:ln w="25400">
              <a:solidFill>
                <a:srgbClr val="000080"/>
              </a:solidFill>
              <a:prstDash val="solid"/>
            </a:ln>
          </c:spPr>
          <c:marker>
            <c:symbol val="diamond"/>
            <c:size val="7"/>
            <c:spPr>
              <a:solidFill>
                <a:srgbClr val="000080"/>
              </a:solidFill>
              <a:ln>
                <a:solidFill>
                  <a:srgbClr val="000080"/>
                </a:solidFill>
                <a:prstDash val="solid"/>
              </a:ln>
            </c:spPr>
          </c:marker>
          <c:cat>
            <c:strRef>
              <c:f>ספיקות!$A$6:$A$17</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c:v>
                </c:pt>
              </c:strCache>
            </c:strRef>
          </c:cat>
          <c:val>
            <c:numRef>
              <c:f>'עומסי שפכים וצריכת אנרגיה'!$O$7:$O$18</c:f>
              <c:numCache>
                <c:formatCode>0.00</c:formatCode>
                <c:ptCount val="12"/>
                <c:pt idx="0">
                  <c:v>1.0633145575271497</c:v>
                </c:pt>
                <c:pt idx="1">
                  <c:v>0.72654028436018958</c:v>
                </c:pt>
                <c:pt idx="2">
                  <c:v>0.83313451352769963</c:v>
                </c:pt>
                <c:pt idx="3">
                  <c:v>1.2896677583060423</c:v>
                </c:pt>
                <c:pt idx="4">
                  <c:v>1.3527835811724223</c:v>
                </c:pt>
                <c:pt idx="5">
                  <c:v>1.2945723161216154</c:v>
                </c:pt>
                <c:pt idx="6">
                  <c:v>1.5426106786971394</c:v>
                </c:pt>
                <c:pt idx="7">
                  <c:v>1.997787252415133</c:v>
                </c:pt>
                <c:pt idx="8">
                  <c:v>1.6223733003708283</c:v>
                </c:pt>
                <c:pt idx="9">
                  <c:v>1.1713771514030062</c:v>
                </c:pt>
                <c:pt idx="10">
                  <c:v>1.3402609956500724</c:v>
                </c:pt>
                <c:pt idx="11">
                  <c:v>1.0159365396984206</c:v>
                </c:pt>
              </c:numCache>
            </c:numRef>
          </c:val>
          <c:smooth val="0"/>
          <c:extLst>
            <c:ext xmlns:c16="http://schemas.microsoft.com/office/drawing/2014/chart" uri="{C3380CC4-5D6E-409C-BE32-E72D297353CC}">
              <c16:uniqueId val="{00000001-1824-46E5-9FD7-950BBBB4F8BC}"/>
            </c:ext>
          </c:extLst>
        </c:ser>
        <c:dLbls>
          <c:showLegendKey val="0"/>
          <c:showVal val="0"/>
          <c:showCatName val="0"/>
          <c:showSerName val="0"/>
          <c:showPercent val="0"/>
          <c:showBubbleSize val="0"/>
        </c:dLbls>
        <c:marker val="1"/>
        <c:smooth val="0"/>
        <c:axId val="3"/>
        <c:axId val="4"/>
      </c:lineChart>
      <c:catAx>
        <c:axId val="574948736"/>
        <c:scaling>
          <c:orientation val="minMax"/>
        </c:scaling>
        <c:delete val="0"/>
        <c:axPos val="b"/>
        <c:title>
          <c:tx>
            <c:rich>
              <a:bodyPr/>
              <a:lstStyle/>
              <a:p>
                <a:pPr>
                  <a:defRPr/>
                </a:pPr>
                <a:r>
                  <a:rPr lang="he-IL"/>
                  <a:t>חודש</a:t>
                </a:r>
              </a:p>
            </c:rich>
          </c:tx>
          <c:layout>
            <c:manualLayout>
              <c:xMode val="edge"/>
              <c:yMode val="edge"/>
              <c:x val="0.48102839674642395"/>
              <c:y val="0.80158877478718205"/>
            </c:manualLayout>
          </c:layout>
          <c:overlay val="0"/>
          <c:spPr>
            <a:noFill/>
            <a:ln w="25400">
              <a:noFill/>
            </a:ln>
          </c:spPr>
        </c:title>
        <c:numFmt formatCode="dd" sourceLinked="0"/>
        <c:majorTickMark val="cross"/>
        <c:minorTickMark val="none"/>
        <c:tickLblPos val="nextTo"/>
        <c:txPr>
          <a:bodyPr rot="0" vert="horz"/>
          <a:lstStyle/>
          <a:p>
            <a:pPr>
              <a:defRPr/>
            </a:pPr>
            <a:endParaRPr lang="he-I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rgbClr val="000000"/>
            </a:solidFill>
            <a:prstDash val="solid"/>
          </a:ln>
        </c:spPr>
        <c:txPr>
          <a:bodyPr rot="0" vert="horz"/>
          <a:lstStyle/>
          <a:p>
            <a:pPr>
              <a:defRPr/>
            </a:pPr>
            <a:endParaRPr lang="he-IL"/>
          </a:p>
        </c:txPr>
        <c:crossAx val="5749487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1"/>
      </c:catAx>
      <c:valAx>
        <c:axId val="4"/>
        <c:scaling>
          <c:orientation val="minMax"/>
        </c:scaling>
        <c:delete val="0"/>
        <c:axPos val="r"/>
        <c:numFmt formatCode="0.00" sourceLinked="1"/>
        <c:majorTickMark val="cross"/>
        <c:minorTickMark val="none"/>
        <c:tickLblPos val="nextTo"/>
        <c:spPr>
          <a:ln w="3175">
            <a:solidFill>
              <a:srgbClr val="000000"/>
            </a:solidFill>
            <a:prstDash val="solid"/>
          </a:ln>
        </c:spPr>
        <c:txPr>
          <a:bodyPr rot="0" vert="horz"/>
          <a:lstStyle/>
          <a:p>
            <a:pPr>
              <a:defRPr/>
            </a:pPr>
            <a:endParaRPr lang="he-IL"/>
          </a:p>
        </c:txPr>
        <c:crossAx val="3"/>
        <c:crosses val="max"/>
        <c:crossBetween val="between"/>
      </c:valAx>
      <c:spPr>
        <a:solidFill>
          <a:srgbClr val="C0C0C0"/>
        </a:solidFill>
        <a:ln w="12700">
          <a:solidFill>
            <a:srgbClr val="000000"/>
          </a:solidFill>
          <a:prstDash val="solid"/>
        </a:ln>
      </c:spPr>
    </c:plotArea>
    <c:legend>
      <c:legendPos val="b"/>
      <c:layout>
        <c:manualLayout>
          <c:xMode val="edge"/>
          <c:yMode val="edge"/>
          <c:x val="0.23314138477577279"/>
          <c:y val="0.86698262527070047"/>
          <c:w val="0.63157935182752323"/>
          <c:h val="0.13095256629043039"/>
        </c:manualLayout>
      </c:layout>
      <c:overlay val="0"/>
      <c:spPr>
        <a:solidFill>
          <a:srgbClr val="FFFFFF"/>
        </a:solidFill>
        <a:ln w="25400">
          <a:noFill/>
        </a:ln>
      </c:spPr>
    </c:legend>
    <c:plotVisOnly val="1"/>
    <c:dispBlanksAs val="gap"/>
    <c:showDLblsOverMax val="0"/>
  </c:chart>
  <c:spPr>
    <a:solidFill>
      <a:schemeClr val="lt1"/>
    </a:solidFill>
    <a:ln w="25400" cap="flat" cmpd="sng" algn="ctr">
      <a:solidFill>
        <a:schemeClr val="dk1"/>
      </a:solidFill>
      <a:prstDash val="solid"/>
    </a:ln>
    <a:effectLst/>
  </c:spPr>
  <c:txPr>
    <a:bodyPr/>
    <a:lstStyle/>
    <a:p>
      <a:pPr>
        <a:defRPr>
          <a:solidFill>
            <a:schemeClr val="dk1"/>
          </a:solidFill>
          <a:latin typeface="+mn-lt"/>
          <a:ea typeface="+mn-ea"/>
          <a:cs typeface="+mn-cs"/>
        </a:defRPr>
      </a:pPr>
      <a:endParaRPr lang="he-IL"/>
    </a:p>
  </c:txPr>
  <c:printSettings>
    <c:headerFooter alignWithMargins="0">
      <c:oddHeader>&amp;C&amp;20&amp;Xא.ל.ד איכות הסביבה</c:oddHeader>
      <c:oddFooter>&amp;C&amp;16&amp;Yמכון טיהור שפכים להבים</c:oddFooter>
    </c:headerFooter>
    <c:pageMargins b="1" l="0.75" r="0.75" t="1" header="0.5" footer="0.5"/>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9525</xdr:colOff>
      <xdr:row>32</xdr:row>
      <xdr:rowOff>0</xdr:rowOff>
    </xdr:from>
    <xdr:to>
      <xdr:col>6</xdr:col>
      <xdr:colOff>0</xdr:colOff>
      <xdr:row>32</xdr:row>
      <xdr:rowOff>0</xdr:rowOff>
    </xdr:to>
    <xdr:sp macro="" textlink="">
      <xdr:nvSpPr>
        <xdr:cNvPr id="15364" name="Text Box 4">
          <a:extLst>
            <a:ext uri="{FF2B5EF4-FFF2-40B4-BE49-F238E27FC236}">
              <a16:creationId xmlns:a16="http://schemas.microsoft.com/office/drawing/2014/main" id="{00000000-0008-0000-0000-0000043C0000}"/>
            </a:ext>
          </a:extLst>
        </xdr:cNvPr>
        <xdr:cNvSpPr txBox="1">
          <a:spLocks noChangeArrowheads="1"/>
        </xdr:cNvSpPr>
      </xdr:nvSpPr>
      <xdr:spPr bwMode="auto">
        <a:xfrm>
          <a:off x="152400000" y="4933950"/>
          <a:ext cx="5153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1">
            <a:defRPr sz="1000"/>
          </a:pPr>
          <a:r>
            <a:rPr lang="he-IL" sz="900" b="0" i="0" u="none" strike="noStrike" baseline="0">
              <a:solidFill>
                <a:srgbClr val="000000"/>
              </a:solidFill>
              <a:latin typeface="Arial"/>
              <a:cs typeface="Arial"/>
            </a:rPr>
            <a:t> </a:t>
          </a:r>
          <a:r>
            <a:rPr lang="he-IL" sz="900" b="0" i="0" u="none" strike="noStrike" baseline="0">
              <a:solidFill>
                <a:srgbClr val="000000"/>
              </a:solidFill>
              <a:latin typeface="Arial (Hebrew)"/>
              <a:cs typeface="Arial (Hebrew)"/>
            </a:rPr>
            <a:t>רח' האומנות 4, איזור התעשיה פולג  ת.ד. 6190</a:t>
          </a:r>
          <a:r>
            <a:rPr lang="he-IL" sz="900" b="0" i="0" u="none" strike="noStrike" baseline="0">
              <a:solidFill>
                <a:srgbClr val="000000"/>
              </a:solidFill>
              <a:latin typeface="Arial"/>
              <a:cs typeface="Arial"/>
            </a:rPr>
            <a:t>,</a:t>
          </a:r>
          <a:r>
            <a:rPr lang="he-IL" sz="900" b="0" i="0" u="none" strike="noStrike" baseline="0">
              <a:solidFill>
                <a:srgbClr val="000000"/>
              </a:solidFill>
              <a:latin typeface="Arial (Hebrew)"/>
              <a:cs typeface="Arial (Hebrew)"/>
            </a:rPr>
            <a:t> נתניה 42160</a:t>
          </a:r>
          <a:r>
            <a:rPr lang="he-IL" sz="900" b="0" i="0" u="none" strike="noStrike" baseline="0">
              <a:solidFill>
                <a:srgbClr val="000000"/>
              </a:solidFill>
              <a:latin typeface="Arial"/>
              <a:cs typeface="Arial"/>
            </a:rPr>
            <a:t> </a:t>
          </a:r>
        </a:p>
        <a:p>
          <a:pPr algn="ctr" rtl="1">
            <a:defRPr sz="1000"/>
          </a:pPr>
          <a:r>
            <a:rPr lang="he-IL" sz="900" b="0" i="0" u="none" strike="noStrike" baseline="0">
              <a:solidFill>
                <a:srgbClr val="000000"/>
              </a:solidFill>
              <a:latin typeface="Arial (Hebrew)"/>
              <a:cs typeface="Arial (Hebrew)"/>
            </a:rPr>
            <a:t>טל</a:t>
          </a:r>
          <a:r>
            <a:rPr lang="he-IL" sz="900" b="0" i="0" u="none" strike="noStrike" baseline="0">
              <a:solidFill>
                <a:srgbClr val="000000"/>
              </a:solidFill>
              <a:latin typeface="Arial"/>
              <a:cs typeface="Arial"/>
            </a:rPr>
            <a:t> 09-8630890</a:t>
          </a:r>
          <a:r>
            <a:rPr lang="he-IL" sz="900" b="0" i="0" u="none" strike="noStrike" baseline="0">
              <a:solidFill>
                <a:srgbClr val="000000"/>
              </a:solidFill>
              <a:latin typeface="Arial (Hebrew)"/>
              <a:cs typeface="Arial (Hebrew)"/>
            </a:rPr>
            <a:t> פקס</a:t>
          </a:r>
          <a:r>
            <a:rPr lang="he-IL" sz="900" b="0" i="0" u="none" strike="noStrike" baseline="0">
              <a:solidFill>
                <a:srgbClr val="000000"/>
              </a:solidFill>
              <a:latin typeface="Arial"/>
              <a:cs typeface="Arial"/>
            </a:rPr>
            <a:t> 09-8357870  </a:t>
          </a:r>
          <a:r>
            <a:rPr lang="en-US" sz="900" b="0" i="0" u="none" strike="noStrike" baseline="0">
              <a:solidFill>
                <a:srgbClr val="0000FF"/>
              </a:solidFill>
              <a:latin typeface="Arial"/>
              <a:cs typeface="Arial"/>
            </a:rPr>
            <a:t>www.ELCOeig.co.il</a:t>
          </a:r>
          <a:endParaRPr lang="en-US" sz="900" b="0" i="0" u="none" strike="noStrike" baseline="0">
            <a:solidFill>
              <a:srgbClr val="000000"/>
            </a:solidFill>
            <a:latin typeface="Arial"/>
            <a:cs typeface="Arial"/>
          </a:endParaRPr>
        </a:p>
        <a:p>
          <a:pPr algn="ctr" rtl="1">
            <a:defRPr sz="1000"/>
          </a:pPr>
          <a:r>
            <a:rPr lang="en-US" sz="900" b="0" i="0" u="none" strike="noStrike" baseline="0">
              <a:solidFill>
                <a:srgbClr val="000000"/>
              </a:solidFill>
              <a:latin typeface="Arial"/>
              <a:cs typeface="Arial"/>
            </a:rPr>
            <a:t>www.ald-ltd.com</a:t>
          </a:r>
        </a:p>
        <a:p>
          <a:pPr algn="ctr" rtl="1">
            <a:defRPr sz="1000"/>
          </a:pPr>
          <a:endParaRPr lang="en-US" sz="1200" b="0" i="0" u="none" strike="noStrike" baseline="0">
            <a:solidFill>
              <a:srgbClr val="000000"/>
            </a:solidFill>
            <a:latin typeface="Times New Roman"/>
            <a:cs typeface="Times New Roman"/>
          </a:endParaRPr>
        </a:p>
        <a:p>
          <a:pPr algn="ctr" rtl="1">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9525</xdr:colOff>
      <xdr:row>32</xdr:row>
      <xdr:rowOff>0</xdr:rowOff>
    </xdr:from>
    <xdr:to>
      <xdr:col>6</xdr:col>
      <xdr:colOff>0</xdr:colOff>
      <xdr:row>32</xdr:row>
      <xdr:rowOff>0</xdr:rowOff>
    </xdr:to>
    <xdr:sp macro="" textlink="">
      <xdr:nvSpPr>
        <xdr:cNvPr id="15366" name="Text Box 6">
          <a:extLst>
            <a:ext uri="{FF2B5EF4-FFF2-40B4-BE49-F238E27FC236}">
              <a16:creationId xmlns:a16="http://schemas.microsoft.com/office/drawing/2014/main" id="{00000000-0008-0000-0000-0000063C0000}"/>
            </a:ext>
          </a:extLst>
        </xdr:cNvPr>
        <xdr:cNvSpPr txBox="1">
          <a:spLocks noChangeArrowheads="1"/>
        </xdr:cNvSpPr>
      </xdr:nvSpPr>
      <xdr:spPr bwMode="auto">
        <a:xfrm>
          <a:off x="152400000" y="4933950"/>
          <a:ext cx="5153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1">
            <a:defRPr sz="1000"/>
          </a:pPr>
          <a:r>
            <a:rPr lang="he-IL" sz="900" b="0" i="0" u="none" strike="noStrike" baseline="0">
              <a:solidFill>
                <a:srgbClr val="000000"/>
              </a:solidFill>
              <a:latin typeface="Arial"/>
              <a:cs typeface="Arial"/>
            </a:rPr>
            <a:t> </a:t>
          </a:r>
          <a:r>
            <a:rPr lang="he-IL" sz="900" b="0" i="0" u="none" strike="noStrike" baseline="0">
              <a:solidFill>
                <a:srgbClr val="000000"/>
              </a:solidFill>
              <a:latin typeface="Arial (Hebrew)"/>
              <a:cs typeface="Arial (Hebrew)"/>
            </a:rPr>
            <a:t>רח' האומנות 4, איזור התעשיה פולג  ת.ד. 6190</a:t>
          </a:r>
          <a:r>
            <a:rPr lang="he-IL" sz="900" b="0" i="0" u="none" strike="noStrike" baseline="0">
              <a:solidFill>
                <a:srgbClr val="000000"/>
              </a:solidFill>
              <a:latin typeface="Arial"/>
              <a:cs typeface="Arial"/>
            </a:rPr>
            <a:t>,</a:t>
          </a:r>
          <a:r>
            <a:rPr lang="he-IL" sz="900" b="0" i="0" u="none" strike="noStrike" baseline="0">
              <a:solidFill>
                <a:srgbClr val="000000"/>
              </a:solidFill>
              <a:latin typeface="Arial (Hebrew)"/>
              <a:cs typeface="Arial (Hebrew)"/>
            </a:rPr>
            <a:t> נתניה 42160</a:t>
          </a:r>
          <a:r>
            <a:rPr lang="he-IL" sz="900" b="0" i="0" u="none" strike="noStrike" baseline="0">
              <a:solidFill>
                <a:srgbClr val="000000"/>
              </a:solidFill>
              <a:latin typeface="Arial"/>
              <a:cs typeface="Arial"/>
            </a:rPr>
            <a:t> </a:t>
          </a:r>
        </a:p>
        <a:p>
          <a:pPr algn="ctr" rtl="1">
            <a:defRPr sz="1000"/>
          </a:pPr>
          <a:r>
            <a:rPr lang="he-IL" sz="900" b="0" i="0" u="none" strike="noStrike" baseline="0">
              <a:solidFill>
                <a:srgbClr val="000000"/>
              </a:solidFill>
              <a:latin typeface="Arial (Hebrew)"/>
              <a:cs typeface="Arial (Hebrew)"/>
            </a:rPr>
            <a:t>טל</a:t>
          </a:r>
          <a:r>
            <a:rPr lang="he-IL" sz="900" b="0" i="0" u="none" strike="noStrike" baseline="0">
              <a:solidFill>
                <a:srgbClr val="000000"/>
              </a:solidFill>
              <a:latin typeface="Arial"/>
              <a:cs typeface="Arial"/>
            </a:rPr>
            <a:t> 09-8630890</a:t>
          </a:r>
          <a:r>
            <a:rPr lang="he-IL" sz="900" b="0" i="0" u="none" strike="noStrike" baseline="0">
              <a:solidFill>
                <a:srgbClr val="000000"/>
              </a:solidFill>
              <a:latin typeface="Arial (Hebrew)"/>
              <a:cs typeface="Arial (Hebrew)"/>
            </a:rPr>
            <a:t> פקס</a:t>
          </a:r>
          <a:r>
            <a:rPr lang="he-IL" sz="900" b="0" i="0" u="none" strike="noStrike" baseline="0">
              <a:solidFill>
                <a:srgbClr val="000000"/>
              </a:solidFill>
              <a:latin typeface="Arial"/>
              <a:cs typeface="Arial"/>
            </a:rPr>
            <a:t> 09-8357870  </a:t>
          </a:r>
          <a:r>
            <a:rPr lang="en-US" sz="900" b="0" i="0" u="none" strike="noStrike" baseline="0">
              <a:solidFill>
                <a:srgbClr val="0000FF"/>
              </a:solidFill>
              <a:latin typeface="Arial"/>
              <a:cs typeface="Arial"/>
            </a:rPr>
            <a:t>www.ELCOeig.co.il</a:t>
          </a:r>
          <a:endParaRPr lang="en-US" sz="900" b="0" i="0" u="none" strike="noStrike" baseline="0">
            <a:solidFill>
              <a:srgbClr val="000000"/>
            </a:solidFill>
            <a:latin typeface="Arial"/>
            <a:cs typeface="Arial"/>
          </a:endParaRPr>
        </a:p>
        <a:p>
          <a:pPr algn="ctr" rtl="1">
            <a:defRPr sz="1000"/>
          </a:pPr>
          <a:r>
            <a:rPr lang="en-US" sz="900" b="0" i="0" u="none" strike="noStrike" baseline="0">
              <a:solidFill>
                <a:srgbClr val="000000"/>
              </a:solidFill>
              <a:latin typeface="Arial"/>
              <a:cs typeface="Arial"/>
            </a:rPr>
            <a:t>www.ald-ltd.com</a:t>
          </a:r>
        </a:p>
        <a:p>
          <a:pPr algn="ctr" rtl="1">
            <a:defRPr sz="1000"/>
          </a:pPr>
          <a:endParaRPr lang="en-US" sz="1200" b="0" i="0" u="none" strike="noStrike" baseline="0">
            <a:solidFill>
              <a:srgbClr val="000000"/>
            </a:solidFill>
            <a:latin typeface="Times New Roman"/>
            <a:cs typeface="Times New Roman"/>
          </a:endParaRPr>
        </a:p>
        <a:p>
          <a:pPr algn="ctr" rtl="1">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9525</xdr:colOff>
      <xdr:row>32</xdr:row>
      <xdr:rowOff>0</xdr:rowOff>
    </xdr:from>
    <xdr:to>
      <xdr:col>6</xdr:col>
      <xdr:colOff>0</xdr:colOff>
      <xdr:row>32</xdr:row>
      <xdr:rowOff>0</xdr:rowOff>
    </xdr:to>
    <xdr:sp macro="" textlink="">
      <xdr:nvSpPr>
        <xdr:cNvPr id="15462" name="Text Box 102">
          <a:extLst>
            <a:ext uri="{FF2B5EF4-FFF2-40B4-BE49-F238E27FC236}">
              <a16:creationId xmlns:a16="http://schemas.microsoft.com/office/drawing/2014/main" id="{00000000-0008-0000-0000-0000663C0000}"/>
            </a:ext>
          </a:extLst>
        </xdr:cNvPr>
        <xdr:cNvSpPr txBox="1">
          <a:spLocks noChangeArrowheads="1"/>
        </xdr:cNvSpPr>
      </xdr:nvSpPr>
      <xdr:spPr bwMode="auto">
        <a:xfrm>
          <a:off x="152400000" y="4933950"/>
          <a:ext cx="5153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1">
            <a:defRPr sz="1000"/>
          </a:pPr>
          <a:r>
            <a:rPr lang="he-IL" sz="900" b="0" i="0" u="none" strike="noStrike" baseline="0">
              <a:solidFill>
                <a:srgbClr val="000000"/>
              </a:solidFill>
              <a:latin typeface="Arial"/>
              <a:cs typeface="Arial"/>
            </a:rPr>
            <a:t> </a:t>
          </a:r>
          <a:r>
            <a:rPr lang="he-IL" sz="900" b="0" i="0" u="none" strike="noStrike" baseline="0">
              <a:solidFill>
                <a:srgbClr val="000000"/>
              </a:solidFill>
              <a:latin typeface="Arial (Hebrew)"/>
              <a:cs typeface="Arial (Hebrew)"/>
            </a:rPr>
            <a:t>רח' האומנות 4, איזור התעשיה פולג  ת.ד. 6190</a:t>
          </a:r>
          <a:r>
            <a:rPr lang="he-IL" sz="900" b="0" i="0" u="none" strike="noStrike" baseline="0">
              <a:solidFill>
                <a:srgbClr val="000000"/>
              </a:solidFill>
              <a:latin typeface="Arial"/>
              <a:cs typeface="Arial"/>
            </a:rPr>
            <a:t>,</a:t>
          </a:r>
          <a:r>
            <a:rPr lang="he-IL" sz="900" b="0" i="0" u="none" strike="noStrike" baseline="0">
              <a:solidFill>
                <a:srgbClr val="000000"/>
              </a:solidFill>
              <a:latin typeface="Arial (Hebrew)"/>
              <a:cs typeface="Arial (Hebrew)"/>
            </a:rPr>
            <a:t> נתניה 42160</a:t>
          </a:r>
          <a:r>
            <a:rPr lang="he-IL" sz="900" b="0" i="0" u="none" strike="noStrike" baseline="0">
              <a:solidFill>
                <a:srgbClr val="000000"/>
              </a:solidFill>
              <a:latin typeface="Arial"/>
              <a:cs typeface="Arial"/>
            </a:rPr>
            <a:t> </a:t>
          </a:r>
        </a:p>
        <a:p>
          <a:pPr algn="ctr" rtl="1">
            <a:defRPr sz="1000"/>
          </a:pPr>
          <a:r>
            <a:rPr lang="he-IL" sz="900" b="0" i="0" u="none" strike="noStrike" baseline="0">
              <a:solidFill>
                <a:srgbClr val="000000"/>
              </a:solidFill>
              <a:latin typeface="Arial (Hebrew)"/>
              <a:cs typeface="Arial (Hebrew)"/>
            </a:rPr>
            <a:t>טל</a:t>
          </a:r>
          <a:r>
            <a:rPr lang="he-IL" sz="900" b="0" i="0" u="none" strike="noStrike" baseline="0">
              <a:solidFill>
                <a:srgbClr val="000000"/>
              </a:solidFill>
              <a:latin typeface="Arial"/>
              <a:cs typeface="Arial"/>
            </a:rPr>
            <a:t> 09-8630890</a:t>
          </a:r>
          <a:r>
            <a:rPr lang="he-IL" sz="900" b="0" i="0" u="none" strike="noStrike" baseline="0">
              <a:solidFill>
                <a:srgbClr val="000000"/>
              </a:solidFill>
              <a:latin typeface="Arial (Hebrew)"/>
              <a:cs typeface="Arial (Hebrew)"/>
            </a:rPr>
            <a:t> פקס</a:t>
          </a:r>
          <a:r>
            <a:rPr lang="he-IL" sz="900" b="0" i="0" u="none" strike="noStrike" baseline="0">
              <a:solidFill>
                <a:srgbClr val="000000"/>
              </a:solidFill>
              <a:latin typeface="Arial"/>
              <a:cs typeface="Arial"/>
            </a:rPr>
            <a:t> 09-8357870  </a:t>
          </a:r>
          <a:r>
            <a:rPr lang="en-US" sz="900" b="0" i="0" u="none" strike="noStrike" baseline="0">
              <a:solidFill>
                <a:srgbClr val="0000FF"/>
              </a:solidFill>
              <a:latin typeface="Arial"/>
              <a:cs typeface="Arial"/>
            </a:rPr>
            <a:t>www.ELCOeig.co.il</a:t>
          </a:r>
          <a:endParaRPr lang="en-US" sz="900" b="0" i="0" u="none" strike="noStrike" baseline="0">
            <a:solidFill>
              <a:srgbClr val="000000"/>
            </a:solidFill>
            <a:latin typeface="Arial"/>
            <a:cs typeface="Arial"/>
          </a:endParaRPr>
        </a:p>
        <a:p>
          <a:pPr algn="ctr" rtl="1">
            <a:defRPr sz="1000"/>
          </a:pPr>
          <a:r>
            <a:rPr lang="en-US" sz="900" b="0" i="0" u="none" strike="noStrike" baseline="0">
              <a:solidFill>
                <a:srgbClr val="000000"/>
              </a:solidFill>
              <a:latin typeface="Arial"/>
              <a:cs typeface="Arial"/>
            </a:rPr>
            <a:t>www.ald-ltd.com</a:t>
          </a:r>
        </a:p>
        <a:p>
          <a:pPr algn="ctr" rtl="1">
            <a:defRPr sz="1000"/>
          </a:pPr>
          <a:endParaRPr lang="en-US" sz="1200" b="0" i="0" u="none" strike="noStrike" baseline="0">
            <a:solidFill>
              <a:srgbClr val="000000"/>
            </a:solidFill>
            <a:latin typeface="Times New Roman"/>
            <a:cs typeface="Times New Roman"/>
          </a:endParaRPr>
        </a:p>
        <a:p>
          <a:pPr algn="ctr" rtl="1">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9525</xdr:colOff>
      <xdr:row>32</xdr:row>
      <xdr:rowOff>0</xdr:rowOff>
    </xdr:from>
    <xdr:to>
      <xdr:col>6</xdr:col>
      <xdr:colOff>0</xdr:colOff>
      <xdr:row>32</xdr:row>
      <xdr:rowOff>0</xdr:rowOff>
    </xdr:to>
    <xdr:sp macro="" textlink="">
      <xdr:nvSpPr>
        <xdr:cNvPr id="15463" name="Text Box 103">
          <a:extLst>
            <a:ext uri="{FF2B5EF4-FFF2-40B4-BE49-F238E27FC236}">
              <a16:creationId xmlns:a16="http://schemas.microsoft.com/office/drawing/2014/main" id="{00000000-0008-0000-0000-0000673C0000}"/>
            </a:ext>
          </a:extLst>
        </xdr:cNvPr>
        <xdr:cNvSpPr txBox="1">
          <a:spLocks noChangeArrowheads="1"/>
        </xdr:cNvSpPr>
      </xdr:nvSpPr>
      <xdr:spPr bwMode="auto">
        <a:xfrm>
          <a:off x="152400000" y="4933950"/>
          <a:ext cx="5153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1">
            <a:defRPr sz="1000"/>
          </a:pPr>
          <a:r>
            <a:rPr lang="he-IL" sz="900" b="0" i="0" u="none" strike="noStrike" baseline="0">
              <a:solidFill>
                <a:srgbClr val="000000"/>
              </a:solidFill>
              <a:latin typeface="Arial"/>
              <a:cs typeface="Arial"/>
            </a:rPr>
            <a:t> </a:t>
          </a:r>
          <a:r>
            <a:rPr lang="he-IL" sz="900" b="0" i="0" u="none" strike="noStrike" baseline="0">
              <a:solidFill>
                <a:srgbClr val="000000"/>
              </a:solidFill>
              <a:latin typeface="Arial (Hebrew)"/>
              <a:cs typeface="Arial (Hebrew)"/>
            </a:rPr>
            <a:t>רח' האומנות 4, איזור התעשיה פולג  ת.ד. 6190</a:t>
          </a:r>
          <a:r>
            <a:rPr lang="he-IL" sz="900" b="0" i="0" u="none" strike="noStrike" baseline="0">
              <a:solidFill>
                <a:srgbClr val="000000"/>
              </a:solidFill>
              <a:latin typeface="Arial"/>
              <a:cs typeface="Arial"/>
            </a:rPr>
            <a:t>,</a:t>
          </a:r>
          <a:r>
            <a:rPr lang="he-IL" sz="900" b="0" i="0" u="none" strike="noStrike" baseline="0">
              <a:solidFill>
                <a:srgbClr val="000000"/>
              </a:solidFill>
              <a:latin typeface="Arial (Hebrew)"/>
              <a:cs typeface="Arial (Hebrew)"/>
            </a:rPr>
            <a:t> נתניה 42160</a:t>
          </a:r>
          <a:r>
            <a:rPr lang="he-IL" sz="900" b="0" i="0" u="none" strike="noStrike" baseline="0">
              <a:solidFill>
                <a:srgbClr val="000000"/>
              </a:solidFill>
              <a:latin typeface="Arial"/>
              <a:cs typeface="Arial"/>
            </a:rPr>
            <a:t> </a:t>
          </a:r>
        </a:p>
        <a:p>
          <a:pPr algn="ctr" rtl="1">
            <a:defRPr sz="1000"/>
          </a:pPr>
          <a:r>
            <a:rPr lang="he-IL" sz="900" b="0" i="0" u="none" strike="noStrike" baseline="0">
              <a:solidFill>
                <a:srgbClr val="000000"/>
              </a:solidFill>
              <a:latin typeface="Arial (Hebrew)"/>
              <a:cs typeface="Arial (Hebrew)"/>
            </a:rPr>
            <a:t>טל</a:t>
          </a:r>
          <a:r>
            <a:rPr lang="he-IL" sz="900" b="0" i="0" u="none" strike="noStrike" baseline="0">
              <a:solidFill>
                <a:srgbClr val="000000"/>
              </a:solidFill>
              <a:latin typeface="Arial"/>
              <a:cs typeface="Arial"/>
            </a:rPr>
            <a:t> 09-8630890</a:t>
          </a:r>
          <a:r>
            <a:rPr lang="he-IL" sz="900" b="0" i="0" u="none" strike="noStrike" baseline="0">
              <a:solidFill>
                <a:srgbClr val="000000"/>
              </a:solidFill>
              <a:latin typeface="Arial (Hebrew)"/>
              <a:cs typeface="Arial (Hebrew)"/>
            </a:rPr>
            <a:t> פקס</a:t>
          </a:r>
          <a:r>
            <a:rPr lang="he-IL" sz="900" b="0" i="0" u="none" strike="noStrike" baseline="0">
              <a:solidFill>
                <a:srgbClr val="000000"/>
              </a:solidFill>
              <a:latin typeface="Arial"/>
              <a:cs typeface="Arial"/>
            </a:rPr>
            <a:t> 09-8357870  </a:t>
          </a:r>
          <a:r>
            <a:rPr lang="en-US" sz="900" b="0" i="0" u="none" strike="noStrike" baseline="0">
              <a:solidFill>
                <a:srgbClr val="0000FF"/>
              </a:solidFill>
              <a:latin typeface="Arial"/>
              <a:cs typeface="Arial"/>
            </a:rPr>
            <a:t>www.ELCOeig.co.il</a:t>
          </a:r>
          <a:endParaRPr lang="en-US" sz="900" b="0" i="0" u="none" strike="noStrike" baseline="0">
            <a:solidFill>
              <a:srgbClr val="000000"/>
            </a:solidFill>
            <a:latin typeface="Arial"/>
            <a:cs typeface="Arial"/>
          </a:endParaRPr>
        </a:p>
        <a:p>
          <a:pPr algn="ctr" rtl="1">
            <a:defRPr sz="1000"/>
          </a:pPr>
          <a:r>
            <a:rPr lang="en-US" sz="900" b="0" i="0" u="none" strike="noStrike" baseline="0">
              <a:solidFill>
                <a:srgbClr val="000000"/>
              </a:solidFill>
              <a:latin typeface="Arial"/>
              <a:cs typeface="Arial"/>
            </a:rPr>
            <a:t>www.ald-ltd.com</a:t>
          </a:r>
        </a:p>
        <a:p>
          <a:pPr algn="ctr" rtl="1">
            <a:defRPr sz="1000"/>
          </a:pPr>
          <a:endParaRPr lang="en-US" sz="1200" b="0" i="0" u="none" strike="noStrike" baseline="0">
            <a:solidFill>
              <a:srgbClr val="000000"/>
            </a:solidFill>
            <a:latin typeface="Times New Roman"/>
            <a:cs typeface="Times New Roman"/>
          </a:endParaRPr>
        </a:p>
        <a:p>
          <a:pPr algn="ctr" rtl="1">
            <a:defRPr sz="1000"/>
          </a:pPr>
          <a:endParaRPr lang="en-US" sz="1200" b="0" i="0" u="none" strike="noStrike" baseline="0">
            <a:solidFill>
              <a:srgbClr val="000000"/>
            </a:solidFill>
            <a:latin typeface="Times New Roman"/>
            <a:cs typeface="Times New Roman"/>
          </a:endParaRPr>
        </a:p>
      </xdr:txBody>
    </xdr:sp>
    <xdr:clientData/>
  </xdr:twoCellAnchor>
  <xdr:twoCellAnchor editAs="oneCell">
    <xdr:from>
      <xdr:col>0</xdr:col>
      <xdr:colOff>0</xdr:colOff>
      <xdr:row>1</xdr:row>
      <xdr:rowOff>0</xdr:rowOff>
    </xdr:from>
    <xdr:to>
      <xdr:col>3</xdr:col>
      <xdr:colOff>561975</xdr:colOff>
      <xdr:row>5</xdr:row>
      <xdr:rowOff>152400</xdr:rowOff>
    </xdr:to>
    <xdr:pic>
      <xdr:nvPicPr>
        <xdr:cNvPr id="4048261" name="תמונה 5" descr="V:\ElectraBD\לוגו חברות קבוצת אלקטרה 2016 - פאראזר\לוגו חברות שינוי שם אלקו,אלד,גירית, KA וטכנולוגיות\Electra\Greentech\Hebrew\Greentech Logo HE.png">
          <a:extLst>
            <a:ext uri="{FF2B5EF4-FFF2-40B4-BE49-F238E27FC236}">
              <a16:creationId xmlns:a16="http://schemas.microsoft.com/office/drawing/2014/main" id="{00000000-0008-0000-0000-000085C53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69" t="24519" r="19360" b="20430"/>
        <a:stretch>
          <a:fillRect/>
        </a:stretch>
      </xdr:blipFill>
      <xdr:spPr bwMode="auto">
        <a:xfrm>
          <a:off x="157048200" y="161925"/>
          <a:ext cx="31908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311150</xdr:colOff>
      <xdr:row>13</xdr:row>
      <xdr:rowOff>57149</xdr:rowOff>
    </xdr:from>
    <xdr:to>
      <xdr:col>10</xdr:col>
      <xdr:colOff>42555</xdr:colOff>
      <xdr:row>13</xdr:row>
      <xdr:rowOff>102868</xdr:rowOff>
    </xdr:to>
    <xdr:pic>
      <xdr:nvPicPr>
        <xdr:cNvPr id="9" name="תמונה 8">
          <a:extLst>
            <a:ext uri="{FF2B5EF4-FFF2-40B4-BE49-F238E27FC236}">
              <a16:creationId xmlns:a16="http://schemas.microsoft.com/office/drawing/2014/main" id="{8BC5F409-18EF-4097-9348-D855DA1F50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flipV="1">
          <a:off x="9981547845" y="3454399"/>
          <a:ext cx="341005" cy="45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114300</xdr:colOff>
      <xdr:row>6</xdr:row>
      <xdr:rowOff>71437</xdr:rowOff>
    </xdr:from>
    <xdr:to>
      <xdr:col>20</xdr:col>
      <xdr:colOff>419100</xdr:colOff>
      <xdr:row>23</xdr:row>
      <xdr:rowOff>42862</xdr:rowOff>
    </xdr:to>
    <xdr:graphicFrame macro="">
      <xdr:nvGraphicFramePr>
        <xdr:cNvPr id="2" name="Chart 1">
          <a:extLst>
            <a:ext uri="{FF2B5EF4-FFF2-40B4-BE49-F238E27FC236}">
              <a16:creationId xmlns:a16="http://schemas.microsoft.com/office/drawing/2014/main" id="{5F1CBCF3-444D-4D6E-B264-2E06EDD4A0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0</xdr:row>
      <xdr:rowOff>0</xdr:rowOff>
    </xdr:from>
    <xdr:to>
      <xdr:col>13</xdr:col>
      <xdr:colOff>28575</xdr:colOff>
      <xdr:row>34</xdr:row>
      <xdr:rowOff>19050</xdr:rowOff>
    </xdr:to>
    <xdr:graphicFrame macro="">
      <xdr:nvGraphicFramePr>
        <xdr:cNvPr id="4048973" name="תרשים 1">
          <a:extLst>
            <a:ext uri="{FF2B5EF4-FFF2-40B4-BE49-F238E27FC236}">
              <a16:creationId xmlns:a16="http://schemas.microsoft.com/office/drawing/2014/main" id="{00000000-0008-0000-0800-00004DC8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0</xdr:row>
      <xdr:rowOff>66675</xdr:rowOff>
    </xdr:from>
    <xdr:to>
      <xdr:col>14</xdr:col>
      <xdr:colOff>57150</xdr:colOff>
      <xdr:row>31</xdr:row>
      <xdr:rowOff>19050</xdr:rowOff>
    </xdr:to>
    <xdr:graphicFrame macro="">
      <xdr:nvGraphicFramePr>
        <xdr:cNvPr id="4051021" name="תרשים 1">
          <a:extLst>
            <a:ext uri="{FF2B5EF4-FFF2-40B4-BE49-F238E27FC236}">
              <a16:creationId xmlns:a16="http://schemas.microsoft.com/office/drawing/2014/main" id="{00000000-0008-0000-0900-00004DD0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0.00383</cdr:x>
      <cdr:y>0.77011</cdr:y>
    </cdr:from>
    <cdr:to>
      <cdr:x>0.04479</cdr:x>
      <cdr:y>0.9613</cdr:y>
    </cdr:to>
    <cdr:sp macro="" textlink="">
      <cdr:nvSpPr>
        <cdr:cNvPr id="2" name="TextBox 1"/>
        <cdr:cNvSpPr txBox="1"/>
      </cdr:nvSpPr>
      <cdr:spPr>
        <a:xfrm xmlns:a="http://schemas.openxmlformats.org/drawingml/2006/main">
          <a:off x="30691" y="3967692"/>
          <a:ext cx="328083" cy="994833"/>
        </a:xfrm>
        <a:prstGeom xmlns:a="http://schemas.openxmlformats.org/drawingml/2006/main" prst="rect">
          <a:avLst/>
        </a:prstGeom>
      </cdr:spPr>
      <cdr:txBody>
        <a:bodyPr xmlns:a="http://schemas.openxmlformats.org/drawingml/2006/main" vertOverflow="clip" vert="vert" wrap="square" rtlCol="1"/>
        <a:lstStyle xmlns:a="http://schemas.openxmlformats.org/drawingml/2006/main"/>
        <a:p xmlns:a="http://schemas.openxmlformats.org/drawingml/2006/main">
          <a:r>
            <a:rPr lang="he-IL" sz="1100" b="1"/>
            <a:t>צריכה</a:t>
          </a:r>
          <a:r>
            <a:rPr lang="he-IL" sz="1100"/>
            <a:t> </a:t>
          </a:r>
          <a:r>
            <a:rPr lang="he-IL" sz="1100" b="1"/>
            <a:t>חודשית</a:t>
          </a:r>
        </a:p>
      </cdr:txBody>
    </cdr:sp>
  </cdr:relSizeAnchor>
  <cdr:relSizeAnchor xmlns:cdr="http://schemas.openxmlformats.org/drawingml/2006/chartDrawing">
    <cdr:from>
      <cdr:x>0.94583</cdr:x>
      <cdr:y>0.77011</cdr:y>
    </cdr:from>
    <cdr:to>
      <cdr:x>0.98547</cdr:x>
      <cdr:y>0.97252</cdr:y>
    </cdr:to>
    <cdr:sp macro="" textlink="">
      <cdr:nvSpPr>
        <cdr:cNvPr id="3" name="TextBox 2"/>
        <cdr:cNvSpPr txBox="1"/>
      </cdr:nvSpPr>
      <cdr:spPr>
        <a:xfrm xmlns:a="http://schemas.openxmlformats.org/drawingml/2006/main">
          <a:off x="8368403" y="3846521"/>
          <a:ext cx="350681" cy="1021813"/>
        </a:xfrm>
        <a:prstGeom xmlns:a="http://schemas.openxmlformats.org/drawingml/2006/main" prst="rect">
          <a:avLst/>
        </a:prstGeom>
      </cdr:spPr>
      <cdr:txBody>
        <a:bodyPr xmlns:a="http://schemas.openxmlformats.org/drawingml/2006/main" vertOverflow="clip" vert="vert" wrap="square" rtlCol="1"/>
        <a:lstStyle xmlns:a="http://schemas.openxmlformats.org/drawingml/2006/main"/>
        <a:p xmlns:a="http://schemas.openxmlformats.org/drawingml/2006/main">
          <a:r>
            <a:rPr lang="he-IL" sz="1100" b="1"/>
            <a:t>צריכה</a:t>
          </a:r>
          <a:r>
            <a:rPr lang="he-IL" sz="1100"/>
            <a:t> </a:t>
          </a:r>
          <a:r>
            <a:rPr lang="he-IL" sz="1100" b="1"/>
            <a:t>סגולית</a:t>
          </a:r>
        </a:p>
      </cdr:txBody>
    </cdr:sp>
  </cdr:relSizeAnchor>
</c:userShape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1"/>
  <sheetViews>
    <sheetView showGridLines="0" rightToLeft="1" tabSelected="1" topLeftCell="A11" workbookViewId="0">
      <selection activeCell="F24" sqref="F24"/>
    </sheetView>
  </sheetViews>
  <sheetFormatPr defaultRowHeight="12.75" x14ac:dyDescent="0.2"/>
  <cols>
    <col min="1" max="1" width="10.140625" bestFit="1" customWidth="1"/>
    <col min="2" max="2" width="11.28515625" customWidth="1"/>
    <col min="3" max="3" width="18" customWidth="1"/>
    <col min="5" max="5" width="8" customWidth="1"/>
    <col min="6" max="6" width="61" customWidth="1"/>
  </cols>
  <sheetData>
    <row r="1" spans="1:8" x14ac:dyDescent="0.2">
      <c r="B1" s="1"/>
      <c r="C1" s="1"/>
      <c r="D1" s="1"/>
      <c r="E1" s="1"/>
      <c r="F1" s="1"/>
    </row>
    <row r="2" spans="1:8" x14ac:dyDescent="0.2">
      <c r="A2" s="1"/>
      <c r="B2" s="1"/>
      <c r="C2" s="1"/>
      <c r="D2" s="1"/>
      <c r="E2" s="1"/>
      <c r="F2" s="1"/>
    </row>
    <row r="3" spans="1:8" x14ac:dyDescent="0.2">
      <c r="A3" s="1"/>
      <c r="B3" s="1"/>
      <c r="C3" s="1"/>
      <c r="D3" s="1"/>
      <c r="E3" s="1"/>
      <c r="F3" s="1"/>
    </row>
    <row r="4" spans="1:8" x14ac:dyDescent="0.2">
      <c r="A4" s="1"/>
      <c r="B4" s="1"/>
      <c r="C4" s="1"/>
      <c r="D4" s="1"/>
      <c r="E4" s="1"/>
      <c r="F4" s="1"/>
    </row>
    <row r="5" spans="1:8" x14ac:dyDescent="0.2">
      <c r="A5" s="1"/>
      <c r="B5" s="1"/>
      <c r="C5" s="1"/>
      <c r="D5" s="1"/>
      <c r="E5" s="1"/>
      <c r="F5" s="1"/>
    </row>
    <row r="6" spans="1:8" x14ac:dyDescent="0.2">
      <c r="A6" s="1"/>
      <c r="B6" s="1"/>
      <c r="C6" s="1"/>
      <c r="D6" s="1"/>
      <c r="E6" s="1"/>
      <c r="F6" s="1"/>
    </row>
    <row r="7" spans="1:8" ht="15.75" x14ac:dyDescent="0.25">
      <c r="A7" s="16" t="s">
        <v>176</v>
      </c>
      <c r="B7" s="222"/>
      <c r="C7" s="222"/>
      <c r="D7" s="222"/>
      <c r="E7" s="10"/>
      <c r="F7" s="1"/>
    </row>
    <row r="8" spans="1:8" ht="12.75" customHeight="1" x14ac:dyDescent="0.25">
      <c r="A8" s="589" t="s">
        <v>175</v>
      </c>
      <c r="B8" s="589"/>
      <c r="C8" s="589"/>
      <c r="D8" s="222"/>
      <c r="E8" s="10"/>
      <c r="F8" s="1"/>
    </row>
    <row r="9" spans="1:8" ht="12.75" customHeight="1" x14ac:dyDescent="0.25">
      <c r="A9" s="596" t="s">
        <v>236</v>
      </c>
      <c r="B9" s="596"/>
      <c r="C9" s="596"/>
      <c r="D9" s="596"/>
      <c r="E9" s="11"/>
      <c r="F9" s="1"/>
    </row>
    <row r="10" spans="1:8" x14ac:dyDescent="0.2">
      <c r="A10" s="1"/>
      <c r="B10" s="1"/>
      <c r="C10" s="1"/>
      <c r="D10" s="1"/>
      <c r="E10" s="1"/>
      <c r="F10" s="1"/>
    </row>
    <row r="11" spans="1:8" ht="15.75" x14ac:dyDescent="0.25">
      <c r="A11" s="61" t="s">
        <v>155</v>
      </c>
      <c r="B11" s="223" t="s">
        <v>156</v>
      </c>
      <c r="C11" s="594" t="str">
        <f>Table!A2</f>
        <v>מט"ש להבים דוח שנתי 2025</v>
      </c>
      <c r="D11" s="595"/>
      <c r="E11" s="595"/>
      <c r="F11" s="12"/>
    </row>
    <row r="12" spans="1:8" ht="108.6" customHeight="1" x14ac:dyDescent="0.2">
      <c r="A12" s="593" t="s">
        <v>240</v>
      </c>
      <c r="B12" s="593"/>
      <c r="C12" s="593"/>
      <c r="D12" s="593"/>
      <c r="E12" s="593"/>
      <c r="F12" s="593"/>
      <c r="G12" s="524"/>
      <c r="H12" s="524"/>
    </row>
    <row r="13" spans="1:8" ht="15.6" customHeight="1" x14ac:dyDescent="0.2">
      <c r="A13" s="479" t="s">
        <v>237</v>
      </c>
      <c r="B13" s="479"/>
      <c r="C13" s="479"/>
      <c r="D13" s="479"/>
      <c r="E13" s="479"/>
      <c r="F13" s="479"/>
      <c r="G13" s="479"/>
      <c r="H13" s="478"/>
    </row>
    <row r="14" spans="1:8" ht="15.6" customHeight="1" x14ac:dyDescent="0.25">
      <c r="A14" s="477"/>
      <c r="B14" s="478"/>
      <c r="C14" s="478"/>
      <c r="D14" s="478"/>
      <c r="E14" s="478"/>
      <c r="F14" s="478"/>
      <c r="G14" s="478"/>
      <c r="H14" s="478"/>
    </row>
    <row r="15" spans="1:8" ht="15.6" customHeight="1" x14ac:dyDescent="0.2">
      <c r="A15" s="8"/>
      <c r="B15" s="8"/>
      <c r="C15" s="8"/>
      <c r="D15" s="8"/>
      <c r="E15" s="8"/>
      <c r="F15" s="8"/>
      <c r="G15" s="478"/>
      <c r="H15" s="478"/>
    </row>
    <row r="16" spans="1:8" ht="15.6" customHeight="1" thickBot="1" x14ac:dyDescent="0.3">
      <c r="A16" s="580" t="s">
        <v>47</v>
      </c>
      <c r="B16" s="580"/>
      <c r="C16" s="580"/>
      <c r="D16" s="9"/>
      <c r="E16" s="9"/>
      <c r="F16" s="366"/>
      <c r="G16" s="8"/>
      <c r="H16" s="8"/>
    </row>
    <row r="17" spans="1:6" ht="15" customHeight="1" x14ac:dyDescent="0.2">
      <c r="A17" s="573" t="s">
        <v>207</v>
      </c>
      <c r="B17" s="574"/>
      <c r="C17" s="574"/>
      <c r="D17" s="590">
        <f>ספיקות!B18</f>
        <v>470731</v>
      </c>
      <c r="E17" s="591"/>
      <c r="F17" s="9"/>
    </row>
    <row r="18" spans="1:6" ht="15" customHeight="1" x14ac:dyDescent="0.2">
      <c r="A18" s="553" t="s">
        <v>53</v>
      </c>
      <c r="B18" s="554"/>
      <c r="C18" s="554"/>
      <c r="D18" s="592">
        <f>ספיקות!C19</f>
        <v>1290.1192268305174</v>
      </c>
      <c r="E18" s="562"/>
      <c r="F18" s="9"/>
    </row>
    <row r="19" spans="1:6" ht="15" x14ac:dyDescent="0.2">
      <c r="A19" s="553" t="s">
        <v>208</v>
      </c>
      <c r="B19" s="554"/>
      <c r="C19" s="554"/>
      <c r="D19" s="592">
        <f>ספיקות!D18</f>
        <v>326958</v>
      </c>
      <c r="E19" s="620"/>
      <c r="F19" s="9"/>
    </row>
    <row r="20" spans="1:6" ht="15" customHeight="1" x14ac:dyDescent="0.2">
      <c r="A20" s="553" t="s">
        <v>177</v>
      </c>
      <c r="B20" s="554"/>
      <c r="C20" s="554"/>
      <c r="D20" s="592">
        <f>D19/365</f>
        <v>895.7753424657534</v>
      </c>
      <c r="E20" s="562"/>
      <c r="F20" s="9"/>
    </row>
    <row r="21" spans="1:6" ht="15" x14ac:dyDescent="0.2">
      <c r="A21" s="553" t="s">
        <v>210</v>
      </c>
      <c r="B21" s="554"/>
      <c r="C21" s="554"/>
      <c r="D21" s="592">
        <f>ספיקות!E18</f>
        <v>326958</v>
      </c>
      <c r="E21" s="620"/>
      <c r="F21" s="9"/>
    </row>
    <row r="22" spans="1:6" ht="15" customHeight="1" x14ac:dyDescent="0.2">
      <c r="A22" s="614" t="s">
        <v>211</v>
      </c>
      <c r="B22" s="615"/>
      <c r="C22" s="615"/>
      <c r="D22" s="616">
        <f>ספיקות!F19</f>
        <v>889.17338069636446</v>
      </c>
      <c r="E22" s="617"/>
      <c r="F22" s="9"/>
    </row>
    <row r="23" spans="1:6" ht="15" customHeight="1" x14ac:dyDescent="0.2">
      <c r="A23" s="553" t="s">
        <v>209</v>
      </c>
      <c r="B23" s="554"/>
      <c r="C23" s="554"/>
      <c r="D23" s="618">
        <f>ספיקות!H18</f>
        <v>470731</v>
      </c>
      <c r="E23" s="619"/>
      <c r="F23" s="9"/>
    </row>
    <row r="24" spans="1:6" ht="15" customHeight="1" thickBot="1" x14ac:dyDescent="0.25">
      <c r="A24" s="557" t="s">
        <v>212</v>
      </c>
      <c r="B24" s="558"/>
      <c r="C24" s="558"/>
      <c r="D24" s="608">
        <f>D23/365</f>
        <v>1289.6739726027397</v>
      </c>
      <c r="E24" s="609"/>
      <c r="F24" s="9"/>
    </row>
    <row r="25" spans="1:6" ht="15" x14ac:dyDescent="0.2">
      <c r="A25" s="8"/>
      <c r="B25" s="8"/>
      <c r="C25" s="8"/>
      <c r="D25" s="8"/>
      <c r="E25" s="8"/>
      <c r="F25" s="9"/>
    </row>
    <row r="26" spans="1:6" ht="16.5" thickBot="1" x14ac:dyDescent="0.3">
      <c r="A26" s="607" t="s">
        <v>146</v>
      </c>
      <c r="B26" s="607"/>
      <c r="C26" s="607"/>
      <c r="D26" s="9"/>
      <c r="E26" s="9"/>
      <c r="F26" s="9"/>
    </row>
    <row r="27" spans="1:6" ht="15" x14ac:dyDescent="0.2">
      <c r="A27" s="573" t="s">
        <v>55</v>
      </c>
      <c r="B27" s="574"/>
      <c r="C27" s="574"/>
      <c r="D27" s="605">
        <f>'איכות שפכים'!C19</f>
        <v>348.56904761904758</v>
      </c>
      <c r="E27" s="606"/>
      <c r="F27" s="9"/>
    </row>
    <row r="28" spans="1:6" ht="15" x14ac:dyDescent="0.2">
      <c r="A28" s="553" t="s">
        <v>54</v>
      </c>
      <c r="B28" s="554"/>
      <c r="C28" s="554"/>
      <c r="D28" s="569">
        <f>'איכות שפכים'!D19</f>
        <v>841.92579365079348</v>
      </c>
      <c r="E28" s="570"/>
      <c r="F28" s="9"/>
    </row>
    <row r="29" spans="1:6" ht="15" x14ac:dyDescent="0.2">
      <c r="A29" s="553" t="s">
        <v>119</v>
      </c>
      <c r="B29" s="554"/>
      <c r="C29" s="554"/>
      <c r="D29" s="569">
        <f>'איכות שפכים'!E19</f>
        <v>355.41071428571428</v>
      </c>
      <c r="E29" s="570"/>
      <c r="F29" s="9"/>
    </row>
    <row r="30" spans="1:6" ht="15" x14ac:dyDescent="0.2">
      <c r="A30" s="553" t="s">
        <v>56</v>
      </c>
      <c r="B30" s="554"/>
      <c r="C30" s="554"/>
      <c r="D30" s="569">
        <f>'איכות שפכים'!F19</f>
        <v>41.336130952380948</v>
      </c>
      <c r="E30" s="570"/>
      <c r="F30" s="9"/>
    </row>
    <row r="31" spans="1:6" ht="15" x14ac:dyDescent="0.2">
      <c r="A31" s="597" t="s">
        <v>145</v>
      </c>
      <c r="B31" s="598"/>
      <c r="C31" s="599"/>
      <c r="D31" s="569">
        <f>'איכות שפכים'!G19</f>
        <v>91.027777777777771</v>
      </c>
      <c r="E31" s="570"/>
      <c r="F31" s="9"/>
    </row>
    <row r="32" spans="1:6" ht="15" customHeight="1" x14ac:dyDescent="0.2">
      <c r="A32" s="553" t="s">
        <v>57</v>
      </c>
      <c r="B32" s="554"/>
      <c r="C32" s="554"/>
      <c r="D32" s="569">
        <f>'איכות שפכים'!H19</f>
        <v>201.58333333333334</v>
      </c>
      <c r="E32" s="570"/>
      <c r="F32" s="9"/>
    </row>
    <row r="33" spans="1:6" ht="15.75" thickBot="1" x14ac:dyDescent="0.25">
      <c r="A33" s="600" t="s">
        <v>128</v>
      </c>
      <c r="B33" s="601"/>
      <c r="C33" s="602"/>
      <c r="D33" s="581">
        <f>'איכות שפכים'!I19</f>
        <v>6.781923611111111</v>
      </c>
      <c r="E33" s="582"/>
      <c r="F33" s="9"/>
    </row>
    <row r="34" spans="1:6" ht="15" x14ac:dyDescent="0.2">
      <c r="A34" s="8"/>
      <c r="B34" s="8"/>
      <c r="C34" s="8"/>
      <c r="D34" s="58"/>
      <c r="E34" s="8"/>
      <c r="F34" s="9"/>
    </row>
    <row r="35" spans="1:6" ht="16.5" thickBot="1" x14ac:dyDescent="0.3">
      <c r="A35" s="580" t="s">
        <v>147</v>
      </c>
      <c r="B35" s="580"/>
      <c r="C35" s="580"/>
      <c r="D35" s="14"/>
      <c r="E35" s="14"/>
      <c r="F35" s="14"/>
    </row>
    <row r="36" spans="1:6" ht="15" x14ac:dyDescent="0.2">
      <c r="A36" s="573" t="s">
        <v>55</v>
      </c>
      <c r="B36" s="574"/>
      <c r="C36" s="574"/>
      <c r="D36" s="603">
        <f>'קולחין שניוני'!C19</f>
        <v>5.7786111111111111</v>
      </c>
      <c r="E36" s="604"/>
      <c r="F36" s="14"/>
    </row>
    <row r="37" spans="1:6" ht="15" x14ac:dyDescent="0.2">
      <c r="A37" s="553" t="s">
        <v>54</v>
      </c>
      <c r="B37" s="554"/>
      <c r="C37" s="554"/>
      <c r="D37" s="555">
        <f>'קולחין שניוני'!D19</f>
        <v>26.754166666666666</v>
      </c>
      <c r="E37" s="556"/>
      <c r="F37" s="14"/>
    </row>
    <row r="38" spans="1:6" ht="15" x14ac:dyDescent="0.2">
      <c r="A38" s="553" t="s">
        <v>119</v>
      </c>
      <c r="B38" s="554"/>
      <c r="C38" s="554"/>
      <c r="D38" s="555">
        <f>'קולחין שניוני'!E19</f>
        <v>14.079861111111109</v>
      </c>
      <c r="E38" s="556"/>
      <c r="F38" s="14"/>
    </row>
    <row r="39" spans="1:6" ht="15" x14ac:dyDescent="0.2">
      <c r="A39" s="553" t="s">
        <v>56</v>
      </c>
      <c r="B39" s="554"/>
      <c r="C39" s="554"/>
      <c r="D39" s="555">
        <f>'קולחין שניוני'!F19</f>
        <v>16.748138888888892</v>
      </c>
      <c r="E39" s="556"/>
      <c r="F39" s="14"/>
    </row>
    <row r="40" spans="1:6" ht="15" x14ac:dyDescent="0.2">
      <c r="A40" s="597" t="s">
        <v>149</v>
      </c>
      <c r="B40" s="598"/>
      <c r="C40" s="599"/>
      <c r="D40" s="612">
        <f>'קולחין שניוני'!G19</f>
        <v>23.802222222222216</v>
      </c>
      <c r="E40" s="613"/>
      <c r="F40" s="14"/>
    </row>
    <row r="41" spans="1:6" ht="15" customHeight="1" thickBot="1" x14ac:dyDescent="0.25">
      <c r="A41" s="600" t="s">
        <v>128</v>
      </c>
      <c r="B41" s="601"/>
      <c r="C41" s="602"/>
      <c r="D41" s="571">
        <f>'קולחין שניוני'!H19</f>
        <v>4.1984166666666667</v>
      </c>
      <c r="E41" s="572"/>
      <c r="F41" s="14"/>
    </row>
    <row r="42" spans="1:6" x14ac:dyDescent="0.2">
      <c r="A42" s="14"/>
      <c r="B42" s="14"/>
      <c r="C42" s="14"/>
      <c r="D42" s="14"/>
      <c r="E42" s="14"/>
      <c r="F42" s="14"/>
    </row>
    <row r="43" spans="1:6" ht="16.5" thickBot="1" x14ac:dyDescent="0.3">
      <c r="A43" s="580" t="s">
        <v>148</v>
      </c>
      <c r="B43" s="580"/>
      <c r="C43" s="580"/>
      <c r="D43" s="14"/>
      <c r="E43" s="14"/>
      <c r="F43" s="14"/>
    </row>
    <row r="44" spans="1:6" ht="15" x14ac:dyDescent="0.2">
      <c r="A44" s="573" t="s">
        <v>55</v>
      </c>
      <c r="B44" s="574"/>
      <c r="C44" s="574"/>
      <c r="D44" s="603">
        <f>'קולחין שלישוני'!D19</f>
        <v>5.1388888888888884</v>
      </c>
      <c r="E44" s="604"/>
      <c r="F44" s="14"/>
    </row>
    <row r="45" spans="1:6" ht="15" x14ac:dyDescent="0.2">
      <c r="A45" s="553" t="s">
        <v>54</v>
      </c>
      <c r="B45" s="554"/>
      <c r="C45" s="554"/>
      <c r="D45" s="555">
        <f>'קולחין שלישוני'!E19</f>
        <v>34.803571428571438</v>
      </c>
      <c r="E45" s="556"/>
      <c r="F45" s="14"/>
    </row>
    <row r="46" spans="1:6" ht="15" x14ac:dyDescent="0.2">
      <c r="A46" s="553" t="s">
        <v>119</v>
      </c>
      <c r="B46" s="554"/>
      <c r="C46" s="554"/>
      <c r="D46" s="555">
        <f>'קולחין שלישוני'!F19</f>
        <v>7.7123015873015879</v>
      </c>
      <c r="E46" s="556"/>
      <c r="F46" s="14"/>
    </row>
    <row r="47" spans="1:6" ht="15" x14ac:dyDescent="0.2">
      <c r="A47" s="577" t="s">
        <v>88</v>
      </c>
      <c r="B47" s="578"/>
      <c r="C47" s="579"/>
      <c r="D47" s="555">
        <f>'קולחין שלישוני'!C19</f>
        <v>0.80580555555555555</v>
      </c>
      <c r="E47" s="556"/>
      <c r="F47" s="14"/>
    </row>
    <row r="48" spans="1:6" ht="15" customHeight="1" thickBot="1" x14ac:dyDescent="0.25">
      <c r="A48" s="567" t="s">
        <v>56</v>
      </c>
      <c r="B48" s="568"/>
      <c r="C48" s="568"/>
      <c r="D48" s="610">
        <f>'קולחין שלישוני'!I19</f>
        <v>12.229402777777777</v>
      </c>
      <c r="E48" s="611"/>
      <c r="F48" s="14"/>
    </row>
    <row r="49" spans="1:6" ht="15" x14ac:dyDescent="0.2">
      <c r="A49" s="8"/>
      <c r="B49" s="8"/>
      <c r="C49" s="8"/>
      <c r="D49" s="57"/>
      <c r="E49" s="57"/>
      <c r="F49" s="14"/>
    </row>
    <row r="50" spans="1:6" ht="15.75" x14ac:dyDescent="0.25">
      <c r="A50" s="580" t="s">
        <v>151</v>
      </c>
      <c r="B50" s="580"/>
      <c r="C50" s="580"/>
      <c r="D50" s="14"/>
      <c r="E50" s="14"/>
      <c r="F50" s="14"/>
    </row>
    <row r="51" spans="1:6" ht="15" hidden="1" x14ac:dyDescent="0.2">
      <c r="A51" s="573" t="s">
        <v>120</v>
      </c>
      <c r="B51" s="574"/>
      <c r="C51" s="574"/>
      <c r="D51" s="575" t="e">
        <f>'יחידת טיפול '!C20</f>
        <v>#DIV/0!</v>
      </c>
      <c r="E51" s="576"/>
      <c r="F51" s="14"/>
    </row>
    <row r="52" spans="1:6" ht="15.75" hidden="1" customHeight="1" x14ac:dyDescent="0.2">
      <c r="A52" s="553" t="s">
        <v>150</v>
      </c>
      <c r="B52" s="554"/>
      <c r="C52" s="554"/>
      <c r="D52" s="561" t="e">
        <f>'יחידת טיפול '!D20</f>
        <v>#DIV/0!</v>
      </c>
      <c r="E52" s="562"/>
      <c r="F52" s="14"/>
    </row>
    <row r="53" spans="1:6" ht="15" hidden="1" x14ac:dyDescent="0.2">
      <c r="A53" s="553" t="s">
        <v>152</v>
      </c>
      <c r="B53" s="554"/>
      <c r="C53" s="554"/>
      <c r="D53" s="559" t="e">
        <f>'יחידת טיפול '!E20</f>
        <v>#DIV/0!</v>
      </c>
      <c r="E53" s="560"/>
      <c r="F53" s="14"/>
    </row>
    <row r="54" spans="1:6" ht="15.75" hidden="1" thickBot="1" x14ac:dyDescent="0.25">
      <c r="A54" s="567" t="s">
        <v>153</v>
      </c>
      <c r="B54" s="568"/>
      <c r="C54" s="568"/>
      <c r="D54" s="583" t="e">
        <f>'יחידת טיפול '!F20</f>
        <v>#DIV/0!</v>
      </c>
      <c r="E54" s="584"/>
      <c r="F54" s="14"/>
    </row>
    <row r="55" spans="1:6" ht="15" hidden="1" x14ac:dyDescent="0.2">
      <c r="A55" s="8"/>
      <c r="B55" s="8"/>
      <c r="C55" s="8"/>
      <c r="D55" s="219"/>
      <c r="E55" s="219"/>
      <c r="F55" s="14"/>
    </row>
    <row r="56" spans="1:6" ht="15.75" thickBot="1" x14ac:dyDescent="0.25">
      <c r="A56" s="8"/>
      <c r="B56" s="8"/>
      <c r="C56" s="8"/>
      <c r="D56" s="219"/>
      <c r="E56" s="219"/>
      <c r="F56" s="14"/>
    </row>
    <row r="57" spans="1:6" ht="15.75" hidden="1" thickBot="1" x14ac:dyDescent="0.25">
      <c r="A57" s="8"/>
      <c r="B57" s="8"/>
      <c r="C57" s="8"/>
      <c r="D57" s="219"/>
      <c r="E57" s="219"/>
      <c r="F57" s="14"/>
    </row>
    <row r="58" spans="1:6" ht="15.75" hidden="1" thickBot="1" x14ac:dyDescent="0.25">
      <c r="A58" s="8"/>
      <c r="B58" s="8"/>
      <c r="C58" s="8"/>
      <c r="D58" s="7"/>
      <c r="E58" s="7"/>
      <c r="F58" s="14"/>
    </row>
    <row r="59" spans="1:6" ht="16.5" hidden="1" thickBot="1" x14ac:dyDescent="0.3">
      <c r="A59" s="580" t="s">
        <v>154</v>
      </c>
      <c r="B59" s="580"/>
      <c r="C59" s="580"/>
      <c r="D59" s="14"/>
      <c r="E59" s="14"/>
      <c r="F59" s="14"/>
    </row>
    <row r="60" spans="1:6" ht="15" x14ac:dyDescent="0.2">
      <c r="A60" s="573" t="s">
        <v>120</v>
      </c>
      <c r="B60" s="574"/>
      <c r="C60" s="574"/>
      <c r="D60" s="575">
        <f>'יחידת טיפול '!K20</f>
        <v>3602.5</v>
      </c>
      <c r="E60" s="576"/>
      <c r="F60" s="14"/>
    </row>
    <row r="61" spans="1:6" ht="15.75" customHeight="1" x14ac:dyDescent="0.2">
      <c r="A61" s="553" t="s">
        <v>150</v>
      </c>
      <c r="B61" s="554"/>
      <c r="C61" s="554"/>
      <c r="D61" s="561">
        <f>'יחידת טיפול '!L20</f>
        <v>2752.2857142857142</v>
      </c>
      <c r="E61" s="562"/>
      <c r="F61" s="14"/>
    </row>
    <row r="62" spans="1:6" ht="15" x14ac:dyDescent="0.2">
      <c r="A62" s="553" t="s">
        <v>152</v>
      </c>
      <c r="B62" s="554"/>
      <c r="C62" s="554"/>
      <c r="D62" s="559">
        <f>'יחידת טיפול '!M20</f>
        <v>390.45454545454544</v>
      </c>
      <c r="E62" s="560"/>
      <c r="F62" s="14"/>
    </row>
    <row r="63" spans="1:6" ht="15.75" thickBot="1" x14ac:dyDescent="0.25">
      <c r="A63" s="567" t="s">
        <v>153</v>
      </c>
      <c r="B63" s="568"/>
      <c r="C63" s="568"/>
      <c r="D63" s="583">
        <f>'יחידת טיפול '!N20</f>
        <v>111.47046978586845</v>
      </c>
      <c r="E63" s="584"/>
      <c r="F63" s="14"/>
    </row>
    <row r="64" spans="1:6" ht="15.75" x14ac:dyDescent="0.25">
      <c r="A64" s="16"/>
      <c r="B64" s="1"/>
      <c r="C64" s="14"/>
      <c r="D64" s="14"/>
      <c r="E64" s="14"/>
      <c r="F64" s="14"/>
    </row>
    <row r="65" spans="1:6" ht="16.5" thickBot="1" x14ac:dyDescent="0.3">
      <c r="A65" s="13" t="s">
        <v>48</v>
      </c>
      <c r="B65" s="1"/>
      <c r="C65" s="14"/>
      <c r="D65" s="14"/>
      <c r="E65" s="14"/>
      <c r="F65" s="14"/>
    </row>
    <row r="66" spans="1:6" ht="15" x14ac:dyDescent="0.2">
      <c r="A66" s="585" t="s">
        <v>213</v>
      </c>
      <c r="B66" s="586"/>
      <c r="C66" s="586"/>
      <c r="D66" s="587">
        <f>'עומסי שפכים וצריכת אנרגיה'!M19</f>
        <v>594624</v>
      </c>
      <c r="E66" s="588"/>
      <c r="F66" s="474"/>
    </row>
    <row r="67" spans="1:6" ht="15" x14ac:dyDescent="0.2">
      <c r="A67" s="553" t="s">
        <v>214</v>
      </c>
      <c r="B67" s="554"/>
      <c r="C67" s="554"/>
      <c r="D67" s="565">
        <f>'עומסי שפכים וצריכת אנרגיה'!M20</f>
        <v>49552</v>
      </c>
      <c r="E67" s="566"/>
      <c r="F67" s="14"/>
    </row>
    <row r="68" spans="1:6" ht="15" x14ac:dyDescent="0.2">
      <c r="A68" s="553" t="s">
        <v>178</v>
      </c>
      <c r="B68" s="554"/>
      <c r="C68" s="554"/>
      <c r="D68" s="555">
        <f>'עומסי שפכים וצריכת אנרגיה'!O19</f>
        <v>1.3690165686310261</v>
      </c>
      <c r="E68" s="556"/>
      <c r="F68" s="14"/>
    </row>
    <row r="69" spans="1:6" ht="15" x14ac:dyDescent="0.2">
      <c r="A69" s="553" t="s">
        <v>58</v>
      </c>
      <c r="B69" s="554"/>
      <c r="C69" s="554"/>
      <c r="D69" s="555">
        <f>'עומסי שפכים וצריכת אנרגיה'!P20</f>
        <v>4.0148132397007021</v>
      </c>
      <c r="E69" s="556"/>
      <c r="F69" s="14"/>
    </row>
    <row r="70" spans="1:6" ht="15.75" thickBot="1" x14ac:dyDescent="0.25">
      <c r="A70" s="557" t="s">
        <v>233</v>
      </c>
      <c r="B70" s="558"/>
      <c r="C70" s="558"/>
      <c r="D70" s="563">
        <f>ספיקות!I18</f>
        <v>76</v>
      </c>
      <c r="E70" s="564"/>
      <c r="F70" s="14"/>
    </row>
    <row r="71" spans="1:6" x14ac:dyDescent="0.2">
      <c r="A71" s="6"/>
      <c r="B71" s="6"/>
      <c r="C71" s="6"/>
      <c r="D71" s="6"/>
      <c r="E71" s="6"/>
      <c r="F71" s="6"/>
    </row>
    <row r="72" spans="1:6" ht="55.5" customHeight="1" x14ac:dyDescent="0.2">
      <c r="A72" s="14"/>
      <c r="B72" s="28"/>
      <c r="C72" s="28"/>
      <c r="D72" s="28"/>
      <c r="E72" s="28"/>
      <c r="F72" s="28"/>
    </row>
    <row r="73" spans="1:6" x14ac:dyDescent="0.2">
      <c r="A73" s="14"/>
      <c r="B73" s="28"/>
      <c r="C73" s="28"/>
      <c r="D73" s="28"/>
      <c r="E73" s="28"/>
      <c r="F73" s="28"/>
    </row>
    <row r="74" spans="1:6" x14ac:dyDescent="0.2">
      <c r="A74" s="6"/>
      <c r="B74" s="6"/>
      <c r="C74" s="6"/>
      <c r="D74" s="6"/>
      <c r="E74" s="6"/>
      <c r="F74" s="6"/>
    </row>
    <row r="75" spans="1:6" ht="15.75" x14ac:dyDescent="0.25">
      <c r="A75" s="6"/>
      <c r="B75" s="6"/>
      <c r="C75" s="6"/>
      <c r="D75" s="6"/>
      <c r="E75" s="15" t="s">
        <v>49</v>
      </c>
    </row>
    <row r="76" spans="1:6" ht="15.75" x14ac:dyDescent="0.25">
      <c r="A76" s="6"/>
      <c r="B76" s="6"/>
      <c r="C76" s="6"/>
      <c r="D76" s="6"/>
      <c r="E76" s="365" t="s">
        <v>181</v>
      </c>
      <c r="F76" s="341"/>
    </row>
    <row r="77" spans="1:6" x14ac:dyDescent="0.2">
      <c r="A77" s="6"/>
      <c r="B77" s="6"/>
      <c r="C77" s="6"/>
      <c r="D77" s="6"/>
      <c r="E77" s="6"/>
      <c r="F77" s="6"/>
    </row>
    <row r="78" spans="1:6" x14ac:dyDescent="0.2">
      <c r="A78" s="6"/>
      <c r="B78" s="6"/>
      <c r="C78" s="6"/>
      <c r="D78" s="6"/>
      <c r="E78" s="6"/>
      <c r="F78" s="6"/>
    </row>
    <row r="79" spans="1:6" x14ac:dyDescent="0.2">
      <c r="A79" s="6"/>
      <c r="B79" s="6"/>
      <c r="C79" s="6"/>
      <c r="D79" s="6"/>
      <c r="E79" s="6"/>
      <c r="F79" s="6"/>
    </row>
    <row r="80" spans="1:6" x14ac:dyDescent="0.2">
      <c r="A80" s="6"/>
      <c r="B80" s="6"/>
      <c r="C80" s="6"/>
      <c r="D80" s="6"/>
      <c r="E80" s="6"/>
      <c r="F80" s="6"/>
    </row>
    <row r="81" spans="1:6" x14ac:dyDescent="0.2">
      <c r="A81" s="6"/>
      <c r="B81" s="6"/>
      <c r="C81" s="6"/>
      <c r="D81" s="6"/>
      <c r="E81" s="6"/>
      <c r="F81" s="6"/>
    </row>
    <row r="82" spans="1:6" x14ac:dyDescent="0.2">
      <c r="A82" s="6"/>
      <c r="B82" s="6"/>
      <c r="C82" s="6"/>
      <c r="D82" s="6"/>
      <c r="E82" s="6"/>
      <c r="F82" s="6"/>
    </row>
    <row r="83" spans="1:6" x14ac:dyDescent="0.2">
      <c r="A83" s="6"/>
      <c r="B83" s="6"/>
      <c r="C83" s="6"/>
      <c r="D83" s="6"/>
      <c r="E83" s="6"/>
      <c r="F83" s="6"/>
    </row>
    <row r="84" spans="1:6" x14ac:dyDescent="0.2">
      <c r="A84" s="6"/>
      <c r="B84" s="6"/>
      <c r="C84" s="6"/>
      <c r="D84" s="6"/>
      <c r="E84" s="6"/>
      <c r="F84" s="6"/>
    </row>
    <row r="85" spans="1:6" x14ac:dyDescent="0.2">
      <c r="A85" s="6"/>
      <c r="B85" s="6"/>
      <c r="C85" s="6"/>
      <c r="D85" s="6"/>
      <c r="E85" s="6"/>
      <c r="F85" s="6"/>
    </row>
    <row r="86" spans="1:6" x14ac:dyDescent="0.2">
      <c r="A86" s="6"/>
      <c r="B86" s="6"/>
      <c r="C86" s="6"/>
      <c r="D86" s="6"/>
      <c r="E86" s="6"/>
      <c r="F86" s="6"/>
    </row>
    <row r="87" spans="1:6" x14ac:dyDescent="0.2">
      <c r="A87" s="6"/>
      <c r="B87" s="6"/>
      <c r="C87" s="6"/>
      <c r="D87" s="6"/>
      <c r="E87" s="6"/>
      <c r="F87" s="6"/>
    </row>
    <row r="88" spans="1:6" x14ac:dyDescent="0.2">
      <c r="A88" s="6"/>
      <c r="B88" s="6"/>
      <c r="C88" s="6"/>
      <c r="D88" s="6"/>
      <c r="E88" s="6"/>
      <c r="F88" s="6"/>
    </row>
    <row r="89" spans="1:6" x14ac:dyDescent="0.2">
      <c r="A89" s="6"/>
      <c r="B89" s="6"/>
      <c r="C89" s="6"/>
      <c r="D89" s="6"/>
      <c r="E89" s="6"/>
      <c r="F89" s="6"/>
    </row>
    <row r="90" spans="1:6" x14ac:dyDescent="0.2">
      <c r="A90" s="6"/>
      <c r="B90" s="6"/>
      <c r="C90" s="6"/>
      <c r="D90" s="6"/>
      <c r="E90" s="6"/>
      <c r="F90" s="6"/>
    </row>
    <row r="91" spans="1:6" x14ac:dyDescent="0.2">
      <c r="A91" s="6"/>
      <c r="B91" s="6"/>
      <c r="C91" s="6"/>
      <c r="D91" s="6"/>
      <c r="E91" s="6"/>
      <c r="F91" s="6"/>
    </row>
    <row r="92" spans="1:6" x14ac:dyDescent="0.2">
      <c r="A92" s="6"/>
      <c r="B92" s="6"/>
      <c r="C92" s="6"/>
      <c r="D92" s="6"/>
      <c r="E92" s="6"/>
      <c r="F92" s="6"/>
    </row>
    <row r="93" spans="1:6" x14ac:dyDescent="0.2">
      <c r="A93" s="6"/>
      <c r="B93" s="6"/>
      <c r="C93" s="6"/>
      <c r="D93" s="6"/>
      <c r="E93" s="6"/>
      <c r="F93" s="6"/>
    </row>
    <row r="94" spans="1:6" x14ac:dyDescent="0.2">
      <c r="A94" s="6"/>
      <c r="B94" s="6"/>
      <c r="C94" s="6"/>
      <c r="D94" s="6"/>
      <c r="E94" s="6"/>
      <c r="F94" s="6"/>
    </row>
    <row r="95" spans="1:6" x14ac:dyDescent="0.2">
      <c r="A95" s="6"/>
      <c r="B95" s="6"/>
      <c r="C95" s="6"/>
      <c r="D95" s="6"/>
      <c r="E95" s="6"/>
      <c r="F95" s="6"/>
    </row>
    <row r="96" spans="1:6" x14ac:dyDescent="0.2">
      <c r="A96" s="6"/>
      <c r="B96" s="6"/>
      <c r="C96" s="6"/>
      <c r="D96" s="6"/>
      <c r="E96" s="6"/>
      <c r="F96" s="6"/>
    </row>
    <row r="97" spans="1:6" x14ac:dyDescent="0.2">
      <c r="A97" s="6"/>
      <c r="B97" s="6"/>
      <c r="C97" s="6"/>
      <c r="D97" s="6"/>
      <c r="E97" s="6"/>
      <c r="F97" s="6"/>
    </row>
    <row r="98" spans="1:6" x14ac:dyDescent="0.2">
      <c r="A98" s="6"/>
      <c r="B98" s="6"/>
      <c r="C98" s="6"/>
      <c r="D98" s="6"/>
      <c r="E98" s="6"/>
      <c r="F98" s="6"/>
    </row>
    <row r="99" spans="1:6" x14ac:dyDescent="0.2">
      <c r="A99" s="6"/>
      <c r="B99" s="6"/>
      <c r="C99" s="6"/>
      <c r="D99" s="6"/>
      <c r="E99" s="6"/>
      <c r="F99" s="6"/>
    </row>
    <row r="100" spans="1:6" x14ac:dyDescent="0.2">
      <c r="A100" s="6"/>
      <c r="B100" s="6"/>
      <c r="C100" s="6"/>
      <c r="D100" s="6"/>
      <c r="E100" s="6"/>
      <c r="F100" s="6"/>
    </row>
    <row r="101" spans="1:6" x14ac:dyDescent="0.2">
      <c r="A101" s="6"/>
      <c r="B101" s="6"/>
      <c r="C101" s="6"/>
      <c r="D101" s="6"/>
      <c r="E101" s="6"/>
      <c r="F101" s="6"/>
    </row>
    <row r="102" spans="1:6" x14ac:dyDescent="0.2">
      <c r="A102" s="6"/>
      <c r="B102" s="6"/>
      <c r="C102" s="6"/>
      <c r="D102" s="6"/>
      <c r="E102" s="6"/>
      <c r="F102" s="6"/>
    </row>
    <row r="103" spans="1:6" x14ac:dyDescent="0.2">
      <c r="A103" s="6"/>
      <c r="B103" s="6"/>
      <c r="C103" s="6"/>
      <c r="D103" s="6"/>
      <c r="E103" s="6"/>
      <c r="F103" s="6"/>
    </row>
    <row r="104" spans="1:6" x14ac:dyDescent="0.2">
      <c r="A104" s="6"/>
      <c r="B104" s="6"/>
      <c r="C104" s="6"/>
      <c r="D104" s="6"/>
      <c r="E104" s="6"/>
      <c r="F104" s="6"/>
    </row>
    <row r="105" spans="1:6" x14ac:dyDescent="0.2">
      <c r="A105" s="6"/>
      <c r="B105" s="6"/>
      <c r="C105" s="6"/>
      <c r="D105" s="6"/>
      <c r="E105" s="6"/>
      <c r="F105" s="6"/>
    </row>
    <row r="106" spans="1:6" x14ac:dyDescent="0.2">
      <c r="A106" s="6"/>
      <c r="B106" s="6"/>
      <c r="C106" s="6"/>
      <c r="D106" s="6"/>
      <c r="E106" s="6"/>
      <c r="F106" s="6"/>
    </row>
    <row r="107" spans="1:6" x14ac:dyDescent="0.2">
      <c r="A107" s="6"/>
      <c r="B107" s="6"/>
      <c r="C107" s="6"/>
      <c r="D107" s="6"/>
      <c r="E107" s="6"/>
      <c r="F107" s="6"/>
    </row>
    <row r="108" spans="1:6" x14ac:dyDescent="0.2">
      <c r="A108" s="6"/>
      <c r="B108" s="6"/>
      <c r="C108" s="6"/>
      <c r="D108" s="6"/>
      <c r="E108" s="6"/>
      <c r="F108" s="6"/>
    </row>
    <row r="109" spans="1:6" x14ac:dyDescent="0.2">
      <c r="A109" s="6"/>
      <c r="B109" s="6"/>
      <c r="C109" s="6"/>
      <c r="D109" s="6"/>
      <c r="E109" s="6"/>
      <c r="F109" s="6"/>
    </row>
    <row r="110" spans="1:6" x14ac:dyDescent="0.2">
      <c r="A110" s="6"/>
      <c r="B110" s="6"/>
      <c r="C110" s="6"/>
      <c r="D110" s="6"/>
      <c r="E110" s="6"/>
      <c r="F110" s="6"/>
    </row>
    <row r="111" spans="1:6" x14ac:dyDescent="0.2">
      <c r="A111" s="6"/>
      <c r="B111" s="6"/>
      <c r="C111" s="6"/>
      <c r="D111" s="6"/>
      <c r="E111" s="6"/>
      <c r="F111" s="6"/>
    </row>
    <row r="112" spans="1:6" x14ac:dyDescent="0.2">
      <c r="A112" s="6"/>
      <c r="B112" s="6"/>
      <c r="C112" s="6"/>
      <c r="D112" s="6"/>
      <c r="E112" s="6"/>
      <c r="F112" s="6"/>
    </row>
    <row r="113" spans="1:6" x14ac:dyDescent="0.2">
      <c r="A113" s="6"/>
      <c r="B113" s="6"/>
      <c r="C113" s="6"/>
      <c r="D113" s="6"/>
      <c r="E113" s="6"/>
      <c r="F113" s="6"/>
    </row>
    <row r="114" spans="1:6" x14ac:dyDescent="0.2">
      <c r="A114" s="6"/>
      <c r="B114" s="6"/>
      <c r="C114" s="6"/>
      <c r="D114" s="6"/>
      <c r="E114" s="6"/>
      <c r="F114" s="6"/>
    </row>
    <row r="115" spans="1:6" x14ac:dyDescent="0.2">
      <c r="A115" s="6"/>
      <c r="B115" s="6"/>
      <c r="C115" s="6"/>
      <c r="D115" s="6"/>
      <c r="E115" s="6"/>
      <c r="F115" s="6"/>
    </row>
    <row r="116" spans="1:6" x14ac:dyDescent="0.2">
      <c r="A116" s="6"/>
      <c r="B116" s="6"/>
      <c r="C116" s="6"/>
      <c r="D116" s="6"/>
      <c r="E116" s="6"/>
      <c r="F116" s="6"/>
    </row>
    <row r="117" spans="1:6" x14ac:dyDescent="0.2">
      <c r="A117" s="6"/>
      <c r="B117" s="6"/>
      <c r="C117" s="6"/>
      <c r="D117" s="6"/>
      <c r="E117" s="6"/>
      <c r="F117" s="6"/>
    </row>
    <row r="118" spans="1:6" x14ac:dyDescent="0.2">
      <c r="A118" s="6"/>
      <c r="B118" s="6"/>
      <c r="C118" s="6"/>
      <c r="D118" s="6"/>
      <c r="E118" s="6"/>
      <c r="F118" s="6"/>
    </row>
    <row r="119" spans="1:6" x14ac:dyDescent="0.2">
      <c r="A119" s="6"/>
      <c r="B119" s="6"/>
      <c r="C119" s="6"/>
      <c r="D119" s="6"/>
      <c r="E119" s="6"/>
      <c r="F119" s="6"/>
    </row>
    <row r="120" spans="1:6" x14ac:dyDescent="0.2">
      <c r="A120" s="6"/>
      <c r="B120" s="6"/>
      <c r="C120" s="6"/>
      <c r="D120" s="6"/>
      <c r="E120" s="6"/>
      <c r="F120" s="6"/>
    </row>
    <row r="121" spans="1:6" x14ac:dyDescent="0.2">
      <c r="A121" s="6"/>
      <c r="B121" s="6"/>
      <c r="C121" s="6"/>
      <c r="D121" s="6"/>
      <c r="E121" s="6"/>
      <c r="F121" s="6"/>
    </row>
    <row r="122" spans="1:6" x14ac:dyDescent="0.2">
      <c r="A122" s="6"/>
      <c r="B122" s="6"/>
      <c r="C122" s="6"/>
      <c r="D122" s="6"/>
      <c r="E122" s="6"/>
      <c r="F122" s="6"/>
    </row>
    <row r="123" spans="1:6" x14ac:dyDescent="0.2">
      <c r="A123" s="6"/>
      <c r="B123" s="6"/>
      <c r="C123" s="6"/>
      <c r="D123" s="6"/>
      <c r="E123" s="6"/>
      <c r="F123" s="6"/>
    </row>
    <row r="124" spans="1:6" x14ac:dyDescent="0.2">
      <c r="A124" s="6"/>
      <c r="B124" s="6"/>
      <c r="C124" s="6"/>
      <c r="D124" s="6"/>
      <c r="E124" s="6"/>
      <c r="F124" s="6"/>
    </row>
    <row r="125" spans="1:6" x14ac:dyDescent="0.2">
      <c r="A125" s="6"/>
      <c r="B125" s="6"/>
      <c r="C125" s="6"/>
      <c r="D125" s="6"/>
      <c r="E125" s="6"/>
      <c r="F125" s="6"/>
    </row>
    <row r="126" spans="1:6" x14ac:dyDescent="0.2">
      <c r="A126" s="6"/>
      <c r="B126" s="6"/>
      <c r="C126" s="6"/>
      <c r="D126" s="6"/>
      <c r="E126" s="6"/>
      <c r="F126" s="6"/>
    </row>
    <row r="127" spans="1:6" x14ac:dyDescent="0.2">
      <c r="A127" s="6"/>
      <c r="B127" s="6"/>
      <c r="C127" s="6"/>
      <c r="D127" s="6"/>
      <c r="E127" s="6"/>
      <c r="F127" s="6"/>
    </row>
    <row r="128" spans="1:6" x14ac:dyDescent="0.2">
      <c r="A128" s="6"/>
      <c r="B128" s="6"/>
      <c r="C128" s="6"/>
      <c r="D128" s="6"/>
      <c r="E128" s="6"/>
      <c r="F128" s="6"/>
    </row>
    <row r="129" spans="1:6" x14ac:dyDescent="0.2">
      <c r="A129" s="6"/>
      <c r="B129" s="6"/>
      <c r="C129" s="6"/>
      <c r="D129" s="6"/>
      <c r="E129" s="6"/>
      <c r="F129" s="6"/>
    </row>
    <row r="130" spans="1:6" x14ac:dyDescent="0.2">
      <c r="A130" s="6"/>
      <c r="B130" s="6"/>
      <c r="C130" s="6"/>
      <c r="D130" s="6"/>
      <c r="E130" s="6"/>
      <c r="F130" s="6"/>
    </row>
    <row r="131" spans="1:6" x14ac:dyDescent="0.2">
      <c r="A131" s="6"/>
      <c r="B131" s="6"/>
      <c r="C131" s="6"/>
      <c r="D131" s="6"/>
      <c r="E131" s="6"/>
      <c r="F131" s="6"/>
    </row>
  </sheetData>
  <sheetProtection formatCells="0" formatColumns="0" formatRows="0"/>
  <mergeCells count="88">
    <mergeCell ref="A22:C22"/>
    <mergeCell ref="D22:E22"/>
    <mergeCell ref="D23:E23"/>
    <mergeCell ref="A17:C17"/>
    <mergeCell ref="D20:E20"/>
    <mergeCell ref="A19:C19"/>
    <mergeCell ref="D19:E19"/>
    <mergeCell ref="A21:C21"/>
    <mergeCell ref="D21:E21"/>
    <mergeCell ref="A20:C20"/>
    <mergeCell ref="A23:C23"/>
    <mergeCell ref="A44:C44"/>
    <mergeCell ref="A46:C46"/>
    <mergeCell ref="A39:C39"/>
    <mergeCell ref="D46:E46"/>
    <mergeCell ref="A50:C50"/>
    <mergeCell ref="A48:C48"/>
    <mergeCell ref="D48:E48"/>
    <mergeCell ref="D44:E44"/>
    <mergeCell ref="A40:C40"/>
    <mergeCell ref="A41:C41"/>
    <mergeCell ref="D40:E40"/>
    <mergeCell ref="D27:E27"/>
    <mergeCell ref="D28:E28"/>
    <mergeCell ref="A26:C26"/>
    <mergeCell ref="A27:C27"/>
    <mergeCell ref="A24:C24"/>
    <mergeCell ref="D24:E24"/>
    <mergeCell ref="A28:C28"/>
    <mergeCell ref="A30:C30"/>
    <mergeCell ref="A32:C32"/>
    <mergeCell ref="D39:E39"/>
    <mergeCell ref="A35:C35"/>
    <mergeCell ref="A36:C36"/>
    <mergeCell ref="D31:E31"/>
    <mergeCell ref="A31:C31"/>
    <mergeCell ref="A33:C33"/>
    <mergeCell ref="D36:E36"/>
    <mergeCell ref="D37:E37"/>
    <mergeCell ref="D38:E38"/>
    <mergeCell ref="A8:C8"/>
    <mergeCell ref="A18:C18"/>
    <mergeCell ref="D17:E17"/>
    <mergeCell ref="D18:E18"/>
    <mergeCell ref="A16:C16"/>
    <mergeCell ref="A12:F12"/>
    <mergeCell ref="C11:E11"/>
    <mergeCell ref="A9:D9"/>
    <mergeCell ref="D60:E60"/>
    <mergeCell ref="D63:E63"/>
    <mergeCell ref="A54:C54"/>
    <mergeCell ref="A66:C66"/>
    <mergeCell ref="D66:E66"/>
    <mergeCell ref="A60:C60"/>
    <mergeCell ref="A59:C59"/>
    <mergeCell ref="D54:E54"/>
    <mergeCell ref="D29:E29"/>
    <mergeCell ref="A29:C29"/>
    <mergeCell ref="D41:E41"/>
    <mergeCell ref="D52:E52"/>
    <mergeCell ref="A51:C51"/>
    <mergeCell ref="A52:C52"/>
    <mergeCell ref="D51:E51"/>
    <mergeCell ref="A38:C38"/>
    <mergeCell ref="A45:C45"/>
    <mergeCell ref="D45:E45"/>
    <mergeCell ref="A47:C47"/>
    <mergeCell ref="A43:C43"/>
    <mergeCell ref="D33:E33"/>
    <mergeCell ref="D30:E30"/>
    <mergeCell ref="D32:E32"/>
    <mergeCell ref="A37:C37"/>
    <mergeCell ref="A53:C53"/>
    <mergeCell ref="D47:E47"/>
    <mergeCell ref="A70:C70"/>
    <mergeCell ref="A67:C67"/>
    <mergeCell ref="D62:E62"/>
    <mergeCell ref="A61:C61"/>
    <mergeCell ref="D61:E61"/>
    <mergeCell ref="A68:C68"/>
    <mergeCell ref="D68:E68"/>
    <mergeCell ref="D70:E70"/>
    <mergeCell ref="D67:E67"/>
    <mergeCell ref="A63:C63"/>
    <mergeCell ref="A62:C62"/>
    <mergeCell ref="A69:C69"/>
    <mergeCell ref="D69:E69"/>
    <mergeCell ref="D53:E53"/>
  </mergeCells>
  <phoneticPr fontId="6" type="noConversion"/>
  <printOptions horizontalCentered="1"/>
  <pageMargins left="0.74803149606299213" right="0.74803149606299213" top="0.45" bottom="0.6" header="0.41"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41"/>
  <sheetViews>
    <sheetView showGridLines="0" showZeros="0" rightToLeft="1" zoomScale="90" zoomScaleNormal="90" workbookViewId="0">
      <selection activeCell="J42" sqref="J42"/>
    </sheetView>
  </sheetViews>
  <sheetFormatPr defaultColWidth="9.140625" defaultRowHeight="12.75" x14ac:dyDescent="0.2"/>
  <cols>
    <col min="1" max="1" width="7.140625" style="2" bestFit="1" customWidth="1"/>
    <col min="2" max="2" width="6" style="2" bestFit="1" customWidth="1"/>
    <col min="3" max="3" width="10.7109375" style="2" customWidth="1"/>
    <col min="4" max="4" width="7.5703125" style="2" customWidth="1"/>
    <col min="5" max="5" width="8.28515625" style="2" customWidth="1"/>
    <col min="6" max="7" width="7.7109375" style="2" customWidth="1"/>
    <col min="8" max="8" width="6.140625" style="2" customWidth="1"/>
    <col min="9" max="9" width="6.7109375" style="2" customWidth="1"/>
    <col min="10" max="10" width="15.140625" style="2" bestFit="1" customWidth="1"/>
    <col min="11" max="11" width="14.28515625" style="2" bestFit="1" customWidth="1"/>
    <col min="12" max="12" width="10.85546875" style="2" bestFit="1" customWidth="1"/>
    <col min="13" max="13" width="9.7109375" style="2" bestFit="1" customWidth="1"/>
    <col min="14" max="14" width="15.7109375" style="2" bestFit="1" customWidth="1"/>
    <col min="15" max="15" width="10.85546875" style="2" bestFit="1" customWidth="1"/>
    <col min="16" max="16" width="10.7109375" style="27" bestFit="1" customWidth="1"/>
    <col min="17" max="17" width="14.140625" style="27" bestFit="1" customWidth="1"/>
    <col min="18" max="16384" width="9.140625" style="2"/>
  </cols>
  <sheetData>
    <row r="1" spans="1:19" ht="18" x14ac:dyDescent="0.25">
      <c r="A1" s="17"/>
      <c r="B1" s="18"/>
      <c r="C1" s="18"/>
      <c r="D1" s="18"/>
      <c r="E1" s="18"/>
      <c r="F1" s="18"/>
      <c r="G1" s="18"/>
      <c r="H1" s="18"/>
      <c r="I1" s="18"/>
      <c r="J1" s="18"/>
      <c r="K1" s="18"/>
      <c r="L1" s="18"/>
      <c r="M1" s="18"/>
      <c r="N1" s="18"/>
      <c r="O1" s="4"/>
      <c r="P1" s="2"/>
      <c r="Q1" s="2"/>
    </row>
    <row r="2" spans="1:19" x14ac:dyDescent="0.2">
      <c r="P2" s="2"/>
      <c r="Q2" s="2"/>
    </row>
    <row r="3" spans="1:19" ht="15.75" x14ac:dyDescent="0.25">
      <c r="A3" s="19"/>
      <c r="B3" s="20"/>
      <c r="C3" s="21"/>
      <c r="D3" s="20"/>
      <c r="E3" s="5"/>
      <c r="F3" s="708"/>
      <c r="G3" s="708"/>
      <c r="H3" s="708"/>
      <c r="I3" s="708"/>
      <c r="J3" s="708"/>
      <c r="K3" s="708"/>
      <c r="L3" s="708"/>
      <c r="M3" s="708"/>
      <c r="N3" s="708"/>
      <c r="O3" s="708"/>
      <c r="P3" s="708"/>
      <c r="Q3" s="2"/>
    </row>
    <row r="4" spans="1:19" ht="13.5" customHeight="1" x14ac:dyDescent="0.2">
      <c r="A4" s="707"/>
      <c r="B4" s="707"/>
      <c r="C4" s="705"/>
      <c r="D4" s="707"/>
      <c r="E4" s="707"/>
      <c r="F4" s="707"/>
      <c r="G4" s="707"/>
      <c r="H4" s="707"/>
      <c r="I4" s="707"/>
      <c r="J4" s="707"/>
      <c r="K4" s="707"/>
      <c r="L4" s="707"/>
      <c r="M4" s="707"/>
      <c r="N4" s="707"/>
      <c r="O4" s="707"/>
      <c r="P4" s="707"/>
      <c r="Q4" s="707"/>
      <c r="R4" s="22"/>
      <c r="S4" s="22"/>
    </row>
    <row r="5" spans="1:19" ht="12.75" customHeight="1" x14ac:dyDescent="0.2">
      <c r="A5" s="704"/>
      <c r="B5" s="705"/>
      <c r="C5" s="705"/>
      <c r="D5" s="22"/>
      <c r="E5" s="22"/>
      <c r="F5" s="22"/>
      <c r="G5" s="22"/>
      <c r="H5" s="22"/>
      <c r="I5" s="22"/>
      <c r="J5" s="22"/>
      <c r="K5" s="22"/>
      <c r="L5" s="22"/>
      <c r="M5" s="22"/>
      <c r="N5" s="22"/>
      <c r="O5" s="22"/>
      <c r="P5" s="23"/>
      <c r="Q5" s="23"/>
      <c r="R5" s="22"/>
      <c r="S5" s="22"/>
    </row>
    <row r="6" spans="1:19" x14ac:dyDescent="0.2">
      <c r="A6" s="704"/>
      <c r="B6" s="705"/>
      <c r="C6" s="22"/>
      <c r="D6" s="22"/>
      <c r="E6" s="22"/>
      <c r="F6" s="22"/>
      <c r="G6" s="22"/>
      <c r="H6" s="22"/>
      <c r="I6" s="22"/>
      <c r="J6" s="22"/>
      <c r="K6" s="22"/>
      <c r="L6" s="22"/>
      <c r="M6" s="22"/>
      <c r="N6" s="22"/>
      <c r="O6" s="22"/>
      <c r="P6" s="23"/>
      <c r="Q6" s="23"/>
    </row>
    <row r="7" spans="1:19" x14ac:dyDescent="0.2">
      <c r="A7" s="24"/>
      <c r="B7" s="24"/>
      <c r="C7" s="3"/>
      <c r="D7" s="25"/>
      <c r="E7" s="25"/>
      <c r="F7" s="25"/>
      <c r="G7" s="25"/>
      <c r="H7" s="25"/>
      <c r="I7" s="25"/>
      <c r="J7" s="25"/>
      <c r="K7" s="25"/>
      <c r="L7" s="25"/>
      <c r="M7" s="25"/>
      <c r="N7" s="25"/>
      <c r="O7" s="24"/>
      <c r="P7" s="26"/>
      <c r="Q7" s="26"/>
    </row>
    <row r="8" spans="1:19" x14ac:dyDescent="0.2">
      <c r="A8" s="24"/>
      <c r="B8" s="24"/>
      <c r="C8" s="3"/>
      <c r="D8" s="25"/>
      <c r="E8" s="25"/>
      <c r="F8" s="25"/>
      <c r="G8" s="25"/>
      <c r="H8" s="25"/>
      <c r="I8" s="25"/>
      <c r="J8" s="25"/>
      <c r="K8" s="25"/>
      <c r="L8" s="25"/>
      <c r="M8" s="25"/>
      <c r="N8" s="25"/>
      <c r="O8" s="24"/>
      <c r="P8" s="26"/>
      <c r="Q8" s="26"/>
    </row>
    <row r="9" spans="1:19" x14ac:dyDescent="0.2">
      <c r="A9" s="24"/>
      <c r="B9" s="24"/>
      <c r="C9" s="3"/>
      <c r="D9" s="25"/>
      <c r="E9" s="25"/>
      <c r="F9" s="25"/>
      <c r="G9" s="25"/>
      <c r="H9" s="25"/>
      <c r="I9" s="25"/>
      <c r="J9" s="25"/>
      <c r="K9" s="25"/>
      <c r="L9" s="25"/>
      <c r="M9" s="25"/>
      <c r="N9" s="25"/>
      <c r="O9" s="24"/>
      <c r="P9" s="26"/>
      <c r="Q9" s="26"/>
    </row>
    <row r="10" spans="1:19" x14ac:dyDescent="0.2">
      <c r="A10" s="24"/>
      <c r="B10" s="24"/>
      <c r="C10" s="3"/>
      <c r="D10" s="25"/>
      <c r="E10" s="25"/>
      <c r="F10" s="25"/>
      <c r="G10" s="25"/>
      <c r="H10" s="25"/>
      <c r="I10" s="25"/>
      <c r="J10" s="25"/>
      <c r="K10" s="25"/>
      <c r="L10" s="25"/>
      <c r="M10" s="25"/>
      <c r="N10" s="25"/>
      <c r="O10" s="24"/>
      <c r="P10" s="26"/>
      <c r="Q10" s="26"/>
    </row>
    <row r="11" spans="1:19" x14ac:dyDescent="0.2">
      <c r="A11" s="24"/>
      <c r="B11" s="24"/>
      <c r="C11" s="3"/>
      <c r="D11" s="25"/>
      <c r="E11" s="25"/>
      <c r="F11" s="25"/>
      <c r="G11" s="25"/>
      <c r="H11" s="25"/>
      <c r="I11" s="25"/>
      <c r="J11" s="25"/>
      <c r="K11" s="25"/>
      <c r="L11" s="25"/>
      <c r="M11" s="25"/>
      <c r="N11" s="25"/>
      <c r="O11" s="24"/>
      <c r="P11" s="26"/>
      <c r="Q11" s="26"/>
    </row>
    <row r="12" spans="1:19" x14ac:dyDescent="0.2">
      <c r="A12" s="24"/>
      <c r="B12" s="24"/>
      <c r="C12" s="3"/>
      <c r="D12" s="25"/>
      <c r="E12" s="25"/>
      <c r="F12" s="25"/>
      <c r="G12" s="25"/>
      <c r="H12" s="25"/>
      <c r="I12" s="25"/>
      <c r="J12" s="25"/>
      <c r="K12" s="25"/>
      <c r="L12" s="25"/>
      <c r="M12" s="25"/>
      <c r="N12" s="25"/>
      <c r="O12" s="24"/>
      <c r="P12" s="26"/>
      <c r="Q12" s="26"/>
    </row>
    <row r="13" spans="1:19" x14ac:dyDescent="0.2">
      <c r="A13" s="24"/>
      <c r="B13" s="24"/>
      <c r="C13" s="3"/>
      <c r="D13" s="25"/>
      <c r="E13" s="25"/>
      <c r="F13" s="25"/>
      <c r="G13" s="25"/>
      <c r="H13" s="25"/>
      <c r="I13" s="25"/>
      <c r="J13" s="25"/>
      <c r="K13" s="25"/>
      <c r="L13" s="25"/>
      <c r="M13" s="25"/>
      <c r="N13" s="25"/>
      <c r="O13" s="24"/>
      <c r="P13" s="26"/>
      <c r="Q13" s="26"/>
    </row>
    <row r="14" spans="1:19" x14ac:dyDescent="0.2">
      <c r="A14" s="24"/>
      <c r="B14" s="24"/>
      <c r="C14" s="3"/>
      <c r="D14" s="25"/>
      <c r="E14" s="25"/>
      <c r="F14" s="25"/>
      <c r="G14" s="25"/>
      <c r="H14" s="25"/>
      <c r="I14" s="25"/>
      <c r="J14" s="25"/>
      <c r="K14" s="25"/>
      <c r="L14" s="25"/>
      <c r="M14" s="25"/>
      <c r="N14" s="25"/>
      <c r="O14" s="24"/>
      <c r="P14" s="26"/>
      <c r="Q14" s="26"/>
    </row>
    <row r="15" spans="1:19" x14ac:dyDescent="0.2">
      <c r="A15" s="24"/>
      <c r="B15" s="24"/>
      <c r="C15" s="3"/>
      <c r="D15" s="25"/>
      <c r="E15" s="25"/>
      <c r="F15" s="25"/>
      <c r="G15" s="25"/>
      <c r="H15" s="25"/>
      <c r="I15" s="25"/>
      <c r="J15" s="25"/>
      <c r="K15" s="25"/>
      <c r="L15" s="25"/>
      <c r="M15" s="25"/>
      <c r="N15" s="25"/>
      <c r="O15" s="24"/>
      <c r="P15" s="26"/>
      <c r="Q15" s="26"/>
    </row>
    <row r="16" spans="1:19" x14ac:dyDescent="0.2">
      <c r="A16" s="24"/>
      <c r="B16" s="24"/>
      <c r="C16" s="3"/>
      <c r="D16" s="25"/>
      <c r="E16" s="25"/>
      <c r="F16" s="25"/>
      <c r="G16" s="25"/>
      <c r="H16" s="25"/>
      <c r="I16" s="25"/>
      <c r="J16" s="25"/>
      <c r="K16" s="25"/>
      <c r="L16" s="25"/>
      <c r="M16" s="25"/>
      <c r="N16" s="25"/>
      <c r="O16" s="24"/>
      <c r="P16" s="26"/>
      <c r="Q16" s="26"/>
    </row>
    <row r="17" spans="1:17" x14ac:dyDescent="0.2">
      <c r="A17" s="24"/>
      <c r="B17" s="24"/>
      <c r="C17" s="3"/>
      <c r="D17" s="25"/>
      <c r="E17" s="25"/>
      <c r="F17" s="25"/>
      <c r="G17" s="25"/>
      <c r="H17" s="25"/>
      <c r="I17" s="25"/>
      <c r="J17" s="25"/>
      <c r="K17" s="25"/>
      <c r="L17" s="25"/>
      <c r="M17" s="25"/>
      <c r="N17" s="25"/>
      <c r="O17" s="24"/>
      <c r="P17" s="26"/>
      <c r="Q17" s="26"/>
    </row>
    <row r="18" spans="1:17" x14ac:dyDescent="0.2">
      <c r="A18" s="24"/>
      <c r="B18" s="24"/>
      <c r="C18" s="3"/>
      <c r="D18" s="25"/>
      <c r="E18" s="25"/>
      <c r="F18" s="25"/>
      <c r="G18" s="25"/>
      <c r="H18" s="25"/>
      <c r="I18" s="25"/>
      <c r="J18" s="25"/>
      <c r="K18" s="25"/>
      <c r="L18" s="25"/>
      <c r="M18" s="25"/>
      <c r="N18" s="25"/>
      <c r="O18" s="24"/>
      <c r="P18" s="26"/>
      <c r="Q18" s="26"/>
    </row>
    <row r="19" spans="1:17" x14ac:dyDescent="0.2">
      <c r="A19" s="24"/>
      <c r="B19" s="24"/>
      <c r="C19" s="3"/>
      <c r="D19" s="25"/>
      <c r="E19" s="25"/>
      <c r="F19" s="25"/>
      <c r="G19" s="25"/>
      <c r="H19" s="25"/>
      <c r="I19" s="25"/>
      <c r="J19" s="25"/>
      <c r="K19" s="25"/>
      <c r="L19" s="25"/>
      <c r="M19" s="25"/>
      <c r="N19" s="25"/>
      <c r="O19" s="24"/>
      <c r="P19" s="26"/>
      <c r="Q19" s="26"/>
    </row>
    <row r="20" spans="1:17" x14ac:dyDescent="0.2">
      <c r="A20" s="24"/>
      <c r="B20" s="24"/>
      <c r="C20" s="3"/>
      <c r="D20" s="25"/>
      <c r="E20" s="25"/>
      <c r="F20" s="25"/>
      <c r="G20" s="25"/>
      <c r="H20" s="25"/>
      <c r="I20" s="25"/>
      <c r="J20" s="25"/>
      <c r="K20" s="25"/>
      <c r="L20" s="25"/>
      <c r="M20" s="25"/>
      <c r="N20" s="25"/>
      <c r="O20" s="24"/>
      <c r="P20" s="26"/>
      <c r="Q20" s="26"/>
    </row>
    <row r="21" spans="1:17" x14ac:dyDescent="0.2">
      <c r="A21" s="24"/>
      <c r="B21" s="24"/>
      <c r="C21" s="3"/>
      <c r="D21" s="25"/>
      <c r="E21" s="25"/>
      <c r="F21" s="25"/>
      <c r="G21" s="25"/>
      <c r="H21" s="25"/>
      <c r="I21" s="25"/>
      <c r="J21" s="25"/>
      <c r="K21" s="25"/>
      <c r="L21" s="25"/>
      <c r="M21" s="25"/>
      <c r="N21" s="25"/>
      <c r="O21" s="24"/>
      <c r="P21" s="26"/>
      <c r="Q21" s="26"/>
    </row>
    <row r="22" spans="1:17" x14ac:dyDescent="0.2">
      <c r="A22" s="24"/>
      <c r="B22" s="24"/>
      <c r="C22" s="3"/>
      <c r="D22" s="25"/>
      <c r="E22" s="25"/>
      <c r="F22" s="25"/>
      <c r="G22" s="25"/>
      <c r="H22" s="25"/>
      <c r="I22" s="25"/>
      <c r="J22" s="25"/>
      <c r="K22" s="25"/>
      <c r="L22" s="25"/>
      <c r="M22" s="25"/>
      <c r="N22" s="25"/>
      <c r="O22" s="24"/>
      <c r="P22" s="26"/>
      <c r="Q22" s="26"/>
    </row>
    <row r="23" spans="1:17" x14ac:dyDescent="0.2">
      <c r="A23" s="24"/>
      <c r="B23" s="24"/>
      <c r="C23" s="3"/>
      <c r="D23" s="25"/>
      <c r="E23" s="25"/>
      <c r="F23" s="25"/>
      <c r="G23" s="25"/>
      <c r="H23" s="25"/>
      <c r="I23" s="25"/>
      <c r="J23" s="25"/>
      <c r="K23" s="25"/>
      <c r="L23" s="25"/>
      <c r="M23" s="25"/>
      <c r="N23" s="25"/>
      <c r="O23" s="24"/>
      <c r="P23" s="26"/>
      <c r="Q23" s="26"/>
    </row>
    <row r="24" spans="1:17" x14ac:dyDescent="0.2">
      <c r="A24" s="24"/>
      <c r="B24" s="24"/>
      <c r="C24" s="3"/>
      <c r="D24" s="25"/>
      <c r="E24" s="25"/>
      <c r="F24" s="25"/>
      <c r="G24" s="25"/>
      <c r="H24" s="25"/>
      <c r="I24" s="25"/>
      <c r="J24" s="25"/>
      <c r="K24" s="25"/>
      <c r="L24" s="25"/>
      <c r="M24" s="25"/>
      <c r="N24" s="25"/>
      <c r="O24" s="24"/>
      <c r="P24" s="26"/>
      <c r="Q24" s="26"/>
    </row>
    <row r="25" spans="1:17" x14ac:dyDescent="0.2">
      <c r="A25" s="24"/>
      <c r="B25" s="24"/>
      <c r="C25" s="3"/>
      <c r="D25" s="25"/>
      <c r="E25" s="25"/>
      <c r="F25" s="25"/>
      <c r="G25" s="25"/>
      <c r="H25" s="25"/>
      <c r="I25" s="25"/>
      <c r="J25" s="25"/>
      <c r="K25" s="25"/>
      <c r="L25" s="25"/>
      <c r="M25" s="25"/>
      <c r="N25" s="25"/>
      <c r="O25" s="24"/>
      <c r="P25" s="26"/>
      <c r="Q25" s="26"/>
    </row>
    <row r="26" spans="1:17" x14ac:dyDescent="0.2">
      <c r="A26" s="24"/>
      <c r="B26" s="24"/>
      <c r="C26" s="3"/>
      <c r="D26" s="25"/>
      <c r="E26" s="25"/>
      <c r="F26" s="25"/>
      <c r="G26" s="25"/>
      <c r="H26" s="25"/>
      <c r="I26" s="25"/>
      <c r="J26" s="25"/>
      <c r="K26" s="25"/>
      <c r="L26" s="25"/>
      <c r="M26" s="25"/>
      <c r="N26" s="25"/>
      <c r="O26" s="24"/>
      <c r="P26" s="26"/>
      <c r="Q26" s="26"/>
    </row>
    <row r="27" spans="1:17" x14ac:dyDescent="0.2">
      <c r="A27" s="24"/>
      <c r="B27" s="24"/>
      <c r="C27" s="3"/>
      <c r="D27" s="25"/>
      <c r="E27" s="25"/>
      <c r="F27" s="25"/>
      <c r="G27" s="25"/>
      <c r="H27" s="25"/>
      <c r="I27" s="25"/>
      <c r="J27" s="25"/>
      <c r="K27" s="25"/>
      <c r="L27" s="25"/>
      <c r="M27" s="25"/>
      <c r="N27" s="25"/>
      <c r="O27" s="24"/>
      <c r="P27" s="26"/>
      <c r="Q27" s="26"/>
    </row>
    <row r="28" spans="1:17" x14ac:dyDescent="0.2">
      <c r="A28" s="24"/>
      <c r="B28" s="24"/>
      <c r="C28" s="3"/>
      <c r="D28" s="25"/>
      <c r="E28" s="25"/>
      <c r="F28" s="25"/>
      <c r="G28" s="25"/>
      <c r="H28" s="25"/>
      <c r="I28" s="25"/>
      <c r="J28" s="25"/>
      <c r="K28" s="25"/>
      <c r="L28" s="25"/>
      <c r="M28" s="25"/>
      <c r="N28" s="25"/>
      <c r="O28" s="24"/>
      <c r="P28" s="26"/>
      <c r="Q28" s="26"/>
    </row>
    <row r="29" spans="1:17" x14ac:dyDescent="0.2">
      <c r="A29" s="24"/>
      <c r="B29" s="24"/>
      <c r="C29" s="3"/>
      <c r="D29" s="25"/>
      <c r="E29" s="25"/>
      <c r="F29" s="25"/>
      <c r="G29" s="25"/>
      <c r="H29" s="25"/>
      <c r="I29" s="25"/>
      <c r="J29" s="25"/>
      <c r="K29" s="25"/>
      <c r="L29" s="25"/>
      <c r="M29" s="25"/>
      <c r="N29" s="25"/>
      <c r="O29" s="24"/>
      <c r="P29" s="26"/>
      <c r="Q29" s="26"/>
    </row>
    <row r="30" spans="1:17" x14ac:dyDescent="0.2">
      <c r="A30" s="24"/>
      <c r="B30" s="24"/>
      <c r="C30" s="3"/>
      <c r="D30" s="25"/>
      <c r="E30" s="25"/>
      <c r="F30" s="25"/>
      <c r="G30" s="25"/>
      <c r="H30" s="25"/>
      <c r="I30" s="25"/>
      <c r="J30" s="25"/>
      <c r="K30" s="25"/>
      <c r="L30" s="25"/>
      <c r="M30" s="25"/>
      <c r="N30" s="25"/>
      <c r="O30" s="24"/>
      <c r="P30" s="26"/>
      <c r="Q30" s="26"/>
    </row>
    <row r="31" spans="1:17" x14ac:dyDescent="0.2">
      <c r="A31" s="24"/>
      <c r="B31" s="24"/>
      <c r="C31" s="3"/>
      <c r="D31" s="25"/>
      <c r="E31" s="25"/>
      <c r="F31" s="25"/>
      <c r="G31" s="25"/>
      <c r="H31" s="25"/>
      <c r="I31" s="25"/>
      <c r="J31" s="25"/>
      <c r="K31" s="25"/>
      <c r="L31" s="25"/>
      <c r="M31" s="25"/>
      <c r="N31" s="25"/>
      <c r="O31" s="24"/>
      <c r="P31" s="26"/>
      <c r="Q31" s="26"/>
    </row>
    <row r="32" spans="1:17" x14ac:dyDescent="0.2">
      <c r="A32" s="24"/>
      <c r="B32" s="24"/>
      <c r="C32" s="3"/>
      <c r="D32" s="25"/>
      <c r="E32" s="25"/>
      <c r="F32" s="25"/>
      <c r="G32" s="25"/>
      <c r="H32" s="25"/>
      <c r="I32" s="25"/>
      <c r="J32" s="25"/>
      <c r="K32" s="25"/>
      <c r="L32" s="25"/>
      <c r="M32" s="25"/>
      <c r="N32" s="25"/>
      <c r="O32" s="24"/>
      <c r="P32" s="26"/>
      <c r="Q32" s="26"/>
    </row>
    <row r="33" spans="1:17" x14ac:dyDescent="0.2">
      <c r="A33" s="24"/>
      <c r="B33" s="24"/>
      <c r="C33" s="3"/>
      <c r="D33" s="25"/>
      <c r="E33" s="25"/>
      <c r="F33" s="25"/>
      <c r="G33" s="25"/>
      <c r="H33" s="25"/>
      <c r="I33" s="25"/>
      <c r="J33" s="25"/>
      <c r="K33" s="25"/>
      <c r="L33" s="25"/>
      <c r="M33" s="25"/>
      <c r="N33" s="25"/>
      <c r="O33" s="24"/>
      <c r="P33" s="26"/>
      <c r="Q33" s="26"/>
    </row>
    <row r="34" spans="1:17" x14ac:dyDescent="0.2">
      <c r="A34" s="24"/>
      <c r="B34" s="24"/>
      <c r="C34" s="3"/>
      <c r="D34" s="25"/>
      <c r="E34" s="25"/>
      <c r="F34" s="25"/>
      <c r="G34" s="25"/>
      <c r="H34" s="25"/>
      <c r="I34" s="25"/>
      <c r="J34" s="25"/>
      <c r="K34" s="25"/>
      <c r="L34" s="25"/>
      <c r="M34" s="25"/>
      <c r="N34" s="25"/>
      <c r="O34" s="24"/>
      <c r="P34" s="26"/>
      <c r="Q34" s="26"/>
    </row>
    <row r="35" spans="1:17" x14ac:dyDescent="0.2">
      <c r="A35" s="24"/>
      <c r="B35" s="24"/>
    </row>
    <row r="36" spans="1:17" x14ac:dyDescent="0.2">
      <c r="A36" s="24"/>
      <c r="B36" s="24"/>
    </row>
    <row r="37" spans="1:17" x14ac:dyDescent="0.2">
      <c r="A37" s="24"/>
      <c r="B37" s="24"/>
    </row>
    <row r="38" spans="1:17" x14ac:dyDescent="0.2">
      <c r="A38" s="706"/>
      <c r="B38" s="706"/>
    </row>
    <row r="39" spans="1:17" x14ac:dyDescent="0.2">
      <c r="A39" s="703"/>
      <c r="B39" s="703"/>
    </row>
    <row r="40" spans="1:17" x14ac:dyDescent="0.2">
      <c r="A40" s="703"/>
      <c r="B40" s="703"/>
    </row>
    <row r="41" spans="1:17" x14ac:dyDescent="0.2">
      <c r="A41" s="703"/>
      <c r="B41" s="703"/>
    </row>
  </sheetData>
  <sheetProtection formatCells="0" formatColumns="0"/>
  <mergeCells count="12">
    <mergeCell ref="A40:B40"/>
    <mergeCell ref="A41:B41"/>
    <mergeCell ref="A5:A6"/>
    <mergeCell ref="B5:B6"/>
    <mergeCell ref="A38:B38"/>
    <mergeCell ref="A39:B39"/>
    <mergeCell ref="N4:Q4"/>
    <mergeCell ref="F3:P3"/>
    <mergeCell ref="A4:B4"/>
    <mergeCell ref="D4:I4"/>
    <mergeCell ref="C4:C5"/>
    <mergeCell ref="J4:M4"/>
  </mergeCells>
  <phoneticPr fontId="6" type="noConversion"/>
  <printOptions horizontalCentered="1"/>
  <pageMargins left="0.25" right="0.61" top="0.98425196850393704" bottom="1.17" header="0.51181102362204722" footer="0.51181102362204722"/>
  <pageSetup paperSize="9" scale="76" orientation="landscape" horizontalDpi="200" verticalDpi="200" r:id="rId1"/>
  <headerFooter alignWithMargins="0">
    <oddHeader>&amp;C&amp;20&amp;Xא.ל.ד איכות הסביבה</oddHeader>
    <oddFooter>&amp;C&amp;16&amp;Yמכון טיהור שפכים להבים</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U39"/>
  <sheetViews>
    <sheetView showGridLines="0" rightToLeft="1" zoomScaleNormal="100" workbookViewId="0">
      <pane xSplit="2" ySplit="6" topLeftCell="CI7" activePane="bottomRight" state="frozen"/>
      <selection pane="topRight" activeCell="C1" sqref="C1"/>
      <selection pane="bottomLeft" activeCell="A7" sqref="A7"/>
      <selection pane="bottomRight" activeCell="O9" sqref="O9"/>
    </sheetView>
  </sheetViews>
  <sheetFormatPr defaultColWidth="9.140625" defaultRowHeight="11.25" x14ac:dyDescent="0.2"/>
  <cols>
    <col min="1" max="1" width="9.140625" style="63" bestFit="1" customWidth="1"/>
    <col min="2" max="2" width="11.42578125" style="63" customWidth="1"/>
    <col min="3" max="3" width="5.28515625" style="63" customWidth="1"/>
    <col min="4" max="4" width="11" style="304" customWidth="1"/>
    <col min="5" max="5" width="8.140625" style="304" customWidth="1"/>
    <col min="6" max="6" width="6.5703125" style="304" bestFit="1" customWidth="1"/>
    <col min="7" max="7" width="9.28515625" style="304" customWidth="1"/>
    <col min="8" max="8" width="7.28515625" style="304" customWidth="1"/>
    <col min="9" max="9" width="7.28515625" style="304" bestFit="1" customWidth="1"/>
    <col min="10" max="10" width="5.7109375" style="332" bestFit="1" customWidth="1"/>
    <col min="11" max="12" width="6.5703125" style="332" bestFit="1" customWidth="1"/>
    <col min="13" max="13" width="4.85546875" style="332" bestFit="1" customWidth="1"/>
    <col min="14" max="15" width="5.7109375" style="332" bestFit="1" customWidth="1"/>
    <col min="16" max="16" width="4.85546875" style="332" bestFit="1" customWidth="1"/>
    <col min="17" max="17" width="6.28515625" style="63" bestFit="1" customWidth="1"/>
    <col min="18" max="18" width="6.140625" style="63" bestFit="1" customWidth="1"/>
    <col min="19" max="19" width="5.140625" style="63" bestFit="1" customWidth="1"/>
    <col min="20" max="20" width="5.7109375" style="63" bestFit="1" customWidth="1"/>
    <col min="21" max="21" width="5.5703125" style="63" bestFit="1" customWidth="1"/>
    <col min="22" max="22" width="5.7109375" style="63" bestFit="1" customWidth="1"/>
    <col min="23" max="23" width="4.85546875" style="63" bestFit="1" customWidth="1"/>
    <col min="24" max="24" width="6.28515625" style="63" bestFit="1" customWidth="1"/>
    <col min="25" max="26" width="6.140625" style="63" bestFit="1" customWidth="1"/>
    <col min="27" max="27" width="6.5703125" style="63" bestFit="1" customWidth="1"/>
    <col min="28" max="29" width="6.140625" style="63" bestFit="1" customWidth="1"/>
    <col min="30" max="30" width="7.85546875" style="63" customWidth="1"/>
    <col min="31" max="31" width="3.28515625" style="63" bestFit="1" customWidth="1"/>
    <col min="32" max="32" width="14.85546875" style="332" hidden="1" customWidth="1"/>
    <col min="33" max="33" width="7.42578125" style="332" hidden="1" customWidth="1"/>
    <col min="34" max="34" width="4.85546875" style="332" bestFit="1" customWidth="1"/>
    <col min="35" max="35" width="4.85546875" style="332" customWidth="1"/>
    <col min="36" max="36" width="5.5703125" style="332" customWidth="1"/>
    <col min="37" max="39" width="4.85546875" style="332" bestFit="1" customWidth="1"/>
    <col min="40" max="40" width="6.7109375" style="63" customWidth="1"/>
    <col min="41" max="41" width="7.7109375" style="63" customWidth="1"/>
    <col min="42" max="42" width="5.5703125" style="63" bestFit="1" customWidth="1"/>
    <col min="43" max="43" width="5.7109375" style="63" bestFit="1" customWidth="1"/>
    <col min="44" max="44" width="5.5703125" style="63" bestFit="1" customWidth="1"/>
    <col min="45" max="45" width="13.140625" style="63" customWidth="1"/>
    <col min="46" max="46" width="5" style="63" bestFit="1" customWidth="1"/>
    <col min="47" max="47" width="4.85546875" style="63" bestFit="1" customWidth="1"/>
    <col min="48" max="48" width="5.7109375" style="63" bestFit="1" customWidth="1"/>
    <col min="49" max="49" width="4.85546875" style="63" bestFit="1" customWidth="1"/>
    <col min="50" max="50" width="7.42578125" style="63" bestFit="1" customWidth="1"/>
    <col min="51" max="51" width="5.85546875" style="63" bestFit="1" customWidth="1"/>
    <col min="52" max="52" width="6.5703125" style="63" bestFit="1" customWidth="1"/>
    <col min="53" max="54" width="4" style="63" bestFit="1" customWidth="1"/>
    <col min="55" max="56" width="5.7109375" style="63" bestFit="1" customWidth="1"/>
    <col min="57" max="58" width="4" style="63" bestFit="1" customWidth="1"/>
    <col min="59" max="59" width="5.7109375" style="64" bestFit="1" customWidth="1"/>
    <col min="60" max="62" width="6.140625" style="63" bestFit="1" customWidth="1"/>
    <col min="63" max="63" width="6.42578125" style="63" bestFit="1" customWidth="1"/>
    <col min="64" max="64" width="6.140625" style="63" bestFit="1" customWidth="1"/>
    <col min="65" max="65" width="4.85546875" style="64" customWidth="1"/>
    <col min="66" max="67" width="9.140625" style="63" bestFit="1" customWidth="1"/>
    <col min="68" max="68" width="7.7109375" style="531" bestFit="1" customWidth="1"/>
    <col min="69" max="69" width="8.5703125" style="63" bestFit="1" customWidth="1"/>
    <col min="70" max="70" width="4" style="63" hidden="1" customWidth="1"/>
    <col min="71" max="71" width="5.5703125" style="63" hidden="1" customWidth="1"/>
    <col min="72" max="73" width="6.5703125" style="332" hidden="1" customWidth="1"/>
    <col min="74" max="74" width="6.28515625" style="332" hidden="1" customWidth="1"/>
    <col min="75" max="75" width="4" style="63" bestFit="1" customWidth="1"/>
    <col min="76" max="76" width="4.140625" style="63" bestFit="1" customWidth="1"/>
    <col min="77" max="77" width="5.140625" style="332" bestFit="1" customWidth="1"/>
    <col min="78" max="78" width="6.7109375" style="332" bestFit="1" customWidth="1"/>
    <col min="79" max="79" width="6.140625" style="332" bestFit="1" customWidth="1"/>
    <col min="80" max="80" width="5.85546875" style="332" bestFit="1" customWidth="1"/>
    <col min="81" max="81" width="5.28515625" style="332" customWidth="1"/>
    <col min="82" max="82" width="7.42578125" style="332" bestFit="1" customWidth="1"/>
    <col min="83" max="83" width="7.42578125" style="332" customWidth="1"/>
    <col min="84" max="84" width="11.7109375" style="63" bestFit="1" customWidth="1"/>
    <col min="85" max="86" width="6.140625" style="333" bestFit="1" customWidth="1"/>
    <col min="87" max="87" width="12.28515625" style="332" bestFit="1" customWidth="1"/>
    <col min="88" max="88" width="7.42578125" style="332" bestFit="1" customWidth="1"/>
    <col min="89" max="89" width="6.7109375" style="332" bestFit="1" customWidth="1"/>
    <col min="90" max="90" width="6.140625" style="332" bestFit="1" customWidth="1"/>
    <col min="91" max="91" width="7.42578125" style="332" bestFit="1" customWidth="1"/>
    <col min="92" max="92" width="3.5703125" style="332" bestFit="1" customWidth="1"/>
    <col min="93" max="93" width="7.28515625" style="303" bestFit="1" customWidth="1"/>
    <col min="94" max="94" width="6.140625" style="303" bestFit="1" customWidth="1"/>
    <col min="95" max="95" width="7.85546875" style="303" bestFit="1" customWidth="1"/>
    <col min="96" max="96" width="8.7109375" style="63" bestFit="1" customWidth="1"/>
    <col min="97" max="97" width="8.28515625" style="332" bestFit="1" customWidth="1"/>
    <col min="98" max="98" width="57.7109375" style="63" customWidth="1"/>
    <col min="99" max="16384" width="9.140625" style="332"/>
  </cols>
  <sheetData>
    <row r="1" spans="1:99" ht="12" thickBot="1" x14ac:dyDescent="0.25"/>
    <row r="2" spans="1:99" s="333" customFormat="1" ht="13.5" thickBot="1" x14ac:dyDescent="0.25">
      <c r="A2" s="732" t="s">
        <v>238</v>
      </c>
      <c r="B2" s="733"/>
      <c r="C2" s="733"/>
      <c r="D2" s="734"/>
      <c r="E2" s="344"/>
      <c r="F2" s="344"/>
      <c r="G2" s="305"/>
      <c r="H2" s="305"/>
      <c r="I2" s="305"/>
      <c r="M2" s="64"/>
      <c r="N2" s="64"/>
      <c r="O2" s="64"/>
      <c r="P2" s="64"/>
      <c r="Q2" s="64"/>
      <c r="R2" s="64"/>
      <c r="S2" s="64"/>
      <c r="T2" s="64"/>
      <c r="U2" s="64"/>
      <c r="V2" s="64"/>
      <c r="W2" s="64"/>
      <c r="X2" s="64"/>
      <c r="Y2" s="64"/>
      <c r="Z2" s="64"/>
      <c r="AA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N2" s="64"/>
      <c r="BO2" s="64"/>
      <c r="BP2" s="531"/>
      <c r="BQ2" s="64"/>
      <c r="BR2" s="64"/>
      <c r="BS2" s="64"/>
      <c r="BW2" s="64"/>
      <c r="BX2" s="64"/>
      <c r="CF2" s="64"/>
      <c r="CH2" s="64"/>
      <c r="CI2" s="64"/>
      <c r="CJ2" s="64"/>
      <c r="CK2" s="64"/>
      <c r="CL2" s="64"/>
      <c r="CM2" s="64"/>
      <c r="CO2" s="64"/>
      <c r="CP2" s="64"/>
      <c r="CQ2" s="64"/>
      <c r="CR2" s="64"/>
      <c r="CT2" s="64"/>
    </row>
    <row r="3" spans="1:99" s="63" customFormat="1" ht="12" thickBot="1" x14ac:dyDescent="0.25">
      <c r="A3" s="62"/>
      <c r="B3" s="746"/>
      <c r="C3" s="747"/>
      <c r="D3" s="738" t="s">
        <v>52</v>
      </c>
      <c r="E3" s="739"/>
      <c r="F3" s="738" t="s">
        <v>157</v>
      </c>
      <c r="G3" s="739"/>
      <c r="H3" s="742" t="s">
        <v>179</v>
      </c>
      <c r="I3" s="743"/>
      <c r="J3" s="369"/>
      <c r="K3" s="735" t="s">
        <v>158</v>
      </c>
      <c r="L3" s="736"/>
      <c r="M3" s="735" t="s">
        <v>159</v>
      </c>
      <c r="N3" s="736"/>
      <c r="BE3" s="64"/>
      <c r="BK3" s="64"/>
      <c r="BN3" s="302"/>
      <c r="BO3" s="302"/>
      <c r="BP3" s="532"/>
      <c r="BQ3" s="302"/>
      <c r="BR3" s="723">
        <v>1</v>
      </c>
      <c r="BS3" s="724"/>
      <c r="BT3" s="724"/>
      <c r="BU3" s="724"/>
      <c r="BV3" s="725"/>
      <c r="BW3" s="723">
        <v>2</v>
      </c>
      <c r="BX3" s="724"/>
      <c r="BY3" s="724"/>
      <c r="BZ3" s="724"/>
      <c r="CA3" s="725"/>
      <c r="CB3" s="302"/>
      <c r="CC3" s="302"/>
      <c r="CD3" s="65"/>
      <c r="CE3" s="65"/>
      <c r="CF3" s="66"/>
      <c r="CG3" s="66"/>
      <c r="CH3" s="65"/>
      <c r="CI3" s="65"/>
      <c r="CK3" s="64"/>
    </row>
    <row r="4" spans="1:99" ht="23.25" thickBot="1" x14ac:dyDescent="0.25">
      <c r="A4" s="299" t="s">
        <v>42</v>
      </c>
      <c r="B4" s="300"/>
      <c r="C4" s="348"/>
      <c r="D4" s="748" t="s">
        <v>100</v>
      </c>
      <c r="E4" s="749"/>
      <c r="F4" s="749"/>
      <c r="G4" s="749"/>
      <c r="H4" s="749"/>
      <c r="I4" s="749"/>
      <c r="J4" s="709" t="s">
        <v>104</v>
      </c>
      <c r="K4" s="710"/>
      <c r="L4" s="710"/>
      <c r="M4" s="710"/>
      <c r="N4" s="710"/>
      <c r="O4" s="710"/>
      <c r="P4" s="710"/>
      <c r="Q4" s="710"/>
      <c r="R4" s="710"/>
      <c r="S4" s="710"/>
      <c r="T4" s="710"/>
      <c r="U4" s="710"/>
      <c r="V4" s="710"/>
      <c r="W4" s="710"/>
      <c r="X4" s="710"/>
      <c r="Y4" s="710"/>
      <c r="Z4" s="710"/>
      <c r="AA4" s="710"/>
      <c r="AB4" s="710"/>
      <c r="AC4" s="710"/>
      <c r="AD4" s="710"/>
      <c r="AE4" s="711"/>
      <c r="AF4" s="197" t="s">
        <v>183</v>
      </c>
      <c r="AG4" s="197"/>
      <c r="AH4" s="709" t="s">
        <v>168</v>
      </c>
      <c r="AI4" s="710"/>
      <c r="AJ4" s="710"/>
      <c r="AK4" s="710"/>
      <c r="AL4" s="710"/>
      <c r="AM4" s="710"/>
      <c r="AN4" s="710"/>
      <c r="AO4" s="710"/>
      <c r="AP4" s="710"/>
      <c r="AQ4" s="710"/>
      <c r="AR4" s="710"/>
      <c r="AS4" s="711"/>
      <c r="AT4" s="709" t="s">
        <v>107</v>
      </c>
      <c r="AU4" s="710"/>
      <c r="AV4" s="710"/>
      <c r="AW4" s="710"/>
      <c r="AX4" s="710"/>
      <c r="AY4" s="710"/>
      <c r="AZ4" s="710"/>
      <c r="BA4" s="710"/>
      <c r="BB4" s="710"/>
      <c r="BC4" s="710"/>
      <c r="BD4" s="710"/>
      <c r="BE4" s="710"/>
      <c r="BF4" s="710"/>
      <c r="BG4" s="710"/>
      <c r="BH4" s="710"/>
      <c r="BI4" s="710"/>
      <c r="BJ4" s="710"/>
      <c r="BK4" s="710"/>
      <c r="BL4" s="710"/>
      <c r="BM4" s="711"/>
      <c r="BN4" s="726" t="s">
        <v>108</v>
      </c>
      <c r="BO4" s="727"/>
      <c r="BP4" s="727"/>
      <c r="BQ4" s="718"/>
      <c r="BR4" s="726" t="s">
        <v>118</v>
      </c>
      <c r="BS4" s="718"/>
      <c r="BT4" s="709" t="s">
        <v>169</v>
      </c>
      <c r="BU4" s="710"/>
      <c r="BV4" s="711"/>
      <c r="BW4" s="726" t="s">
        <v>117</v>
      </c>
      <c r="BX4" s="718"/>
      <c r="BY4" s="709" t="s">
        <v>170</v>
      </c>
      <c r="BZ4" s="710"/>
      <c r="CA4" s="711"/>
      <c r="CB4" s="709" t="s">
        <v>112</v>
      </c>
      <c r="CC4" s="710"/>
      <c r="CD4" s="710"/>
      <c r="CE4" s="209"/>
      <c r="CF4" s="760" t="s">
        <v>24</v>
      </c>
      <c r="CG4" s="760"/>
      <c r="CH4" s="760"/>
      <c r="CI4" s="760"/>
      <c r="CJ4" s="760"/>
      <c r="CK4" s="760"/>
      <c r="CL4" s="760"/>
      <c r="CM4" s="760"/>
      <c r="CN4" s="761"/>
      <c r="CO4" s="762" t="s">
        <v>113</v>
      </c>
      <c r="CP4" s="763"/>
      <c r="CQ4" s="764"/>
      <c r="CR4" s="40" t="s">
        <v>11</v>
      </c>
      <c r="CS4" s="765" t="s">
        <v>172</v>
      </c>
      <c r="CT4" s="756" t="s">
        <v>167</v>
      </c>
    </row>
    <row r="5" spans="1:99" ht="23.25" customHeight="1" thickBot="1" x14ac:dyDescent="0.25">
      <c r="A5" s="728" t="s">
        <v>1</v>
      </c>
      <c r="B5" s="740" t="s">
        <v>16</v>
      </c>
      <c r="C5" s="740" t="s">
        <v>52</v>
      </c>
      <c r="D5" s="730" t="s">
        <v>25</v>
      </c>
      <c r="E5" s="731"/>
      <c r="F5" s="345" t="s">
        <v>171</v>
      </c>
      <c r="G5" s="744" t="s">
        <v>180</v>
      </c>
      <c r="H5" s="745"/>
      <c r="I5" s="349" t="s">
        <v>182</v>
      </c>
      <c r="J5" s="737" t="s">
        <v>60</v>
      </c>
      <c r="K5" s="710"/>
      <c r="L5" s="710"/>
      <c r="M5" s="710"/>
      <c r="N5" s="710"/>
      <c r="O5" s="710"/>
      <c r="P5" s="710"/>
      <c r="Q5" s="711"/>
      <c r="R5" s="714" t="s">
        <v>61</v>
      </c>
      <c r="S5" s="716"/>
      <c r="T5" s="714" t="s">
        <v>62</v>
      </c>
      <c r="U5" s="715"/>
      <c r="V5" s="715"/>
      <c r="W5" s="715"/>
      <c r="X5" s="715"/>
      <c r="Y5" s="715"/>
      <c r="Z5" s="716"/>
      <c r="AA5" s="714" t="s">
        <v>63</v>
      </c>
      <c r="AB5" s="715"/>
      <c r="AC5" s="715"/>
      <c r="AD5" s="715"/>
      <c r="AE5" s="716"/>
      <c r="AF5" s="709" t="s">
        <v>83</v>
      </c>
      <c r="AG5" s="711"/>
      <c r="AH5" s="709" t="s">
        <v>83</v>
      </c>
      <c r="AI5" s="710"/>
      <c r="AJ5" s="711"/>
      <c r="AK5" s="709" t="s">
        <v>60</v>
      </c>
      <c r="AL5" s="710"/>
      <c r="AM5" s="711"/>
      <c r="AN5" s="714" t="s">
        <v>61</v>
      </c>
      <c r="AO5" s="715"/>
      <c r="AP5" s="715"/>
      <c r="AQ5" s="715"/>
      <c r="AR5" s="716"/>
      <c r="AS5" s="38" t="s">
        <v>105</v>
      </c>
      <c r="AT5" s="709" t="s">
        <v>83</v>
      </c>
      <c r="AU5" s="710"/>
      <c r="AV5" s="710"/>
      <c r="AW5" s="711"/>
      <c r="AX5" s="714" t="s">
        <v>60</v>
      </c>
      <c r="AY5" s="715"/>
      <c r="AZ5" s="715"/>
      <c r="BA5" s="715"/>
      <c r="BB5" s="715"/>
      <c r="BC5" s="715"/>
      <c r="BD5" s="716"/>
      <c r="BE5" s="714" t="s">
        <v>87</v>
      </c>
      <c r="BF5" s="715"/>
      <c r="BG5" s="716"/>
      <c r="BH5" s="39" t="s">
        <v>61</v>
      </c>
      <c r="BI5" s="714" t="s">
        <v>84</v>
      </c>
      <c r="BJ5" s="715"/>
      <c r="BK5" s="715"/>
      <c r="BL5" s="715"/>
      <c r="BM5" s="716"/>
      <c r="BN5" s="719" t="s">
        <v>96</v>
      </c>
      <c r="BO5" s="719" t="s">
        <v>97</v>
      </c>
      <c r="BP5" s="712" t="s">
        <v>98</v>
      </c>
      <c r="BQ5" s="719" t="s">
        <v>99</v>
      </c>
      <c r="BR5" s="717" t="s">
        <v>109</v>
      </c>
      <c r="BS5" s="718"/>
      <c r="BT5" s="721" t="s">
        <v>6</v>
      </c>
      <c r="BU5" s="750" t="s">
        <v>40</v>
      </c>
      <c r="BV5" s="752" t="s">
        <v>36</v>
      </c>
      <c r="BW5" s="726" t="s">
        <v>109</v>
      </c>
      <c r="BX5" s="718"/>
      <c r="BY5" s="721" t="s">
        <v>6</v>
      </c>
      <c r="BZ5" s="750" t="s">
        <v>40</v>
      </c>
      <c r="CA5" s="752" t="s">
        <v>36</v>
      </c>
      <c r="CB5" s="709" t="s">
        <v>60</v>
      </c>
      <c r="CC5" s="711"/>
      <c r="CD5" s="529" t="s">
        <v>87</v>
      </c>
      <c r="CE5" s="530"/>
      <c r="CF5" s="768" t="s">
        <v>234</v>
      </c>
      <c r="CG5" s="709" t="s">
        <v>60</v>
      </c>
      <c r="CH5" s="711"/>
      <c r="CI5" s="709" t="s">
        <v>61</v>
      </c>
      <c r="CJ5" s="710"/>
      <c r="CK5" s="710"/>
      <c r="CL5" s="710"/>
      <c r="CM5" s="710"/>
      <c r="CN5" s="711"/>
      <c r="CO5" s="757" t="s">
        <v>114</v>
      </c>
      <c r="CP5" s="757" t="s">
        <v>115</v>
      </c>
      <c r="CQ5" s="757" t="s">
        <v>116</v>
      </c>
      <c r="CR5" s="719" t="s">
        <v>185</v>
      </c>
      <c r="CS5" s="766"/>
      <c r="CT5" s="756"/>
    </row>
    <row r="6" spans="1:99" ht="23.25" thickBot="1" x14ac:dyDescent="0.25">
      <c r="A6" s="729"/>
      <c r="B6" s="741"/>
      <c r="C6" s="741"/>
      <c r="D6" s="40" t="s">
        <v>184</v>
      </c>
      <c r="E6" s="368" t="s">
        <v>15</v>
      </c>
      <c r="F6" s="40" t="s">
        <v>184</v>
      </c>
      <c r="G6" s="40" t="s">
        <v>184</v>
      </c>
      <c r="H6" s="368" t="s">
        <v>15</v>
      </c>
      <c r="I6" s="355" t="s">
        <v>219</v>
      </c>
      <c r="J6" s="202" t="s">
        <v>64</v>
      </c>
      <c r="K6" s="79" t="s">
        <v>65</v>
      </c>
      <c r="L6" s="79" t="s">
        <v>66</v>
      </c>
      <c r="M6" s="79" t="s">
        <v>32</v>
      </c>
      <c r="N6" s="79" t="s">
        <v>67</v>
      </c>
      <c r="O6" s="79" t="s">
        <v>68</v>
      </c>
      <c r="P6" s="201" t="s">
        <v>14</v>
      </c>
      <c r="Q6" s="371" t="s">
        <v>69</v>
      </c>
      <c r="R6" s="78" t="s">
        <v>33</v>
      </c>
      <c r="S6" s="201" t="s">
        <v>71</v>
      </c>
      <c r="T6" s="78" t="s">
        <v>70</v>
      </c>
      <c r="U6" s="202" t="s">
        <v>72</v>
      </c>
      <c r="V6" s="79" t="s">
        <v>73</v>
      </c>
      <c r="W6" s="79" t="s">
        <v>74</v>
      </c>
      <c r="X6" s="202" t="s">
        <v>75</v>
      </c>
      <c r="Y6" s="79" t="s">
        <v>76</v>
      </c>
      <c r="Z6" s="201" t="s">
        <v>77</v>
      </c>
      <c r="AA6" s="202" t="s">
        <v>78</v>
      </c>
      <c r="AB6" s="79" t="s">
        <v>79</v>
      </c>
      <c r="AC6" s="79" t="s">
        <v>103</v>
      </c>
      <c r="AD6" s="370" t="s">
        <v>102</v>
      </c>
      <c r="AE6" s="39" t="s">
        <v>34</v>
      </c>
      <c r="AF6" s="203" t="s">
        <v>64</v>
      </c>
      <c r="AG6" s="198" t="s">
        <v>66</v>
      </c>
      <c r="AH6" s="203" t="s">
        <v>64</v>
      </c>
      <c r="AI6" s="204" t="s">
        <v>65</v>
      </c>
      <c r="AJ6" s="198" t="s">
        <v>66</v>
      </c>
      <c r="AK6" s="203" t="s">
        <v>32</v>
      </c>
      <c r="AL6" s="205" t="s">
        <v>33</v>
      </c>
      <c r="AM6" s="198" t="s">
        <v>14</v>
      </c>
      <c r="AN6" s="197" t="s">
        <v>74</v>
      </c>
      <c r="AO6" s="205" t="s">
        <v>101</v>
      </c>
      <c r="AP6" s="37" t="s">
        <v>85</v>
      </c>
      <c r="AQ6" s="205" t="s">
        <v>13</v>
      </c>
      <c r="AR6" s="206" t="s">
        <v>34</v>
      </c>
      <c r="AS6" s="198" t="s">
        <v>77</v>
      </c>
      <c r="AT6" s="78" t="s">
        <v>106</v>
      </c>
      <c r="AU6" s="204" t="s">
        <v>64</v>
      </c>
      <c r="AV6" s="79" t="s">
        <v>65</v>
      </c>
      <c r="AW6" s="201" t="s">
        <v>66</v>
      </c>
      <c r="AX6" s="203" t="s">
        <v>33</v>
      </c>
      <c r="AY6" s="205" t="s">
        <v>69</v>
      </c>
      <c r="AZ6" s="205" t="s">
        <v>32</v>
      </c>
      <c r="BA6" s="205" t="s">
        <v>27</v>
      </c>
      <c r="BB6" s="205" t="s">
        <v>28</v>
      </c>
      <c r="BC6" s="204" t="s">
        <v>89</v>
      </c>
      <c r="BD6" s="197" t="s">
        <v>68</v>
      </c>
      <c r="BE6" s="203" t="s">
        <v>14</v>
      </c>
      <c r="BF6" s="205" t="s">
        <v>90</v>
      </c>
      <c r="BG6" s="197" t="s">
        <v>13</v>
      </c>
      <c r="BH6" s="39" t="s">
        <v>85</v>
      </c>
      <c r="BI6" s="197" t="s">
        <v>74</v>
      </c>
      <c r="BJ6" s="205" t="s">
        <v>77</v>
      </c>
      <c r="BK6" s="204" t="s">
        <v>91</v>
      </c>
      <c r="BL6" s="205" t="s">
        <v>92</v>
      </c>
      <c r="BM6" s="343" t="s">
        <v>34</v>
      </c>
      <c r="BN6" s="720"/>
      <c r="BO6" s="720"/>
      <c r="BP6" s="713"/>
      <c r="BQ6" s="720"/>
      <c r="BR6" s="546" t="s">
        <v>110</v>
      </c>
      <c r="BS6" s="358" t="s">
        <v>111</v>
      </c>
      <c r="BT6" s="722"/>
      <c r="BU6" s="751"/>
      <c r="BV6" s="753"/>
      <c r="BW6" s="355" t="s">
        <v>110</v>
      </c>
      <c r="BX6" s="361" t="s">
        <v>111</v>
      </c>
      <c r="BY6" s="755"/>
      <c r="BZ6" s="754"/>
      <c r="CA6" s="753"/>
      <c r="CB6" s="207" t="s">
        <v>23</v>
      </c>
      <c r="CC6" s="208" t="s">
        <v>30</v>
      </c>
      <c r="CD6" s="538" t="s">
        <v>94</v>
      </c>
      <c r="CE6" s="540"/>
      <c r="CF6" s="745"/>
      <c r="CG6" s="342" t="s">
        <v>23</v>
      </c>
      <c r="CH6" s="208" t="s">
        <v>30</v>
      </c>
      <c r="CI6" s="199" t="s">
        <v>31</v>
      </c>
      <c r="CJ6" s="210" t="s">
        <v>14</v>
      </c>
      <c r="CK6" s="210" t="s">
        <v>32</v>
      </c>
      <c r="CL6" s="207" t="s">
        <v>29</v>
      </c>
      <c r="CM6" s="210" t="s">
        <v>33</v>
      </c>
      <c r="CN6" s="208" t="s">
        <v>34</v>
      </c>
      <c r="CO6" s="758"/>
      <c r="CP6" s="758"/>
      <c r="CQ6" s="758"/>
      <c r="CR6" s="759"/>
      <c r="CS6" s="767"/>
      <c r="CT6" s="756"/>
    </row>
    <row r="7" spans="1:99" s="335" customFormat="1" ht="15.75" customHeight="1" thickBot="1" x14ac:dyDescent="0.25">
      <c r="A7" s="378" t="s">
        <v>220</v>
      </c>
      <c r="B7" s="346"/>
      <c r="C7" s="334"/>
      <c r="D7" s="480">
        <v>37600</v>
      </c>
      <c r="E7" s="480">
        <v>1212.9032258064517</v>
      </c>
      <c r="F7" s="480">
        <v>19082</v>
      </c>
      <c r="G7" s="480">
        <v>19082</v>
      </c>
      <c r="H7" s="480">
        <v>615.54838709677415</v>
      </c>
      <c r="I7" s="480">
        <v>6</v>
      </c>
      <c r="J7" s="483">
        <v>343.4</v>
      </c>
      <c r="K7" s="484">
        <v>861.6</v>
      </c>
      <c r="L7" s="484">
        <v>376.4</v>
      </c>
      <c r="M7" s="485">
        <v>39.879999999999995</v>
      </c>
      <c r="N7" s="484">
        <v>84.5</v>
      </c>
      <c r="O7" s="486">
        <v>189</v>
      </c>
      <c r="P7" s="487">
        <v>5.08</v>
      </c>
      <c r="Q7" s="488">
        <v>68</v>
      </c>
      <c r="R7" s="483">
        <v>72</v>
      </c>
      <c r="S7" s="487">
        <v>10</v>
      </c>
      <c r="T7" s="483">
        <v>290.75</v>
      </c>
      <c r="U7" s="486">
        <v>171</v>
      </c>
      <c r="V7" s="484">
        <v>301</v>
      </c>
      <c r="W7" s="489">
        <v>7.75</v>
      </c>
      <c r="X7" s="489">
        <v>1.5</v>
      </c>
      <c r="Y7" s="489">
        <v>0</v>
      </c>
      <c r="Z7" s="490">
        <v>5.0000000000000001E-3</v>
      </c>
      <c r="AA7" s="486">
        <v>0</v>
      </c>
      <c r="AB7" s="489">
        <v>0</v>
      </c>
      <c r="AC7" s="489">
        <v>0</v>
      </c>
      <c r="AD7" s="489">
        <v>0</v>
      </c>
      <c r="AE7" s="450"/>
      <c r="AF7" s="451" t="e">
        <v>#DIV/0!</v>
      </c>
      <c r="AG7" s="452" t="e">
        <v>#DIV/0!</v>
      </c>
      <c r="AH7" s="483">
        <v>3.5</v>
      </c>
      <c r="AI7" s="484">
        <v>22</v>
      </c>
      <c r="AJ7" s="494">
        <v>13.75</v>
      </c>
      <c r="AK7" s="495">
        <v>14.333333333333334</v>
      </c>
      <c r="AL7" s="496">
        <v>22.666666666666668</v>
      </c>
      <c r="AM7" s="497">
        <v>2.5</v>
      </c>
      <c r="AN7" s="498">
        <v>0</v>
      </c>
      <c r="AO7" s="489">
        <v>0</v>
      </c>
      <c r="AP7" s="489">
        <v>0</v>
      </c>
      <c r="AQ7" s="485">
        <v>1.4419999999999999</v>
      </c>
      <c r="AR7" s="499"/>
      <c r="AS7" s="500">
        <v>0</v>
      </c>
      <c r="AT7" s="486">
        <v>1.1428571428571428</v>
      </c>
      <c r="AU7" s="484">
        <v>4.4285714285714288</v>
      </c>
      <c r="AV7" s="486">
        <v>22.428571428571427</v>
      </c>
      <c r="AW7" s="487">
        <v>5</v>
      </c>
      <c r="AX7" s="495">
        <v>19</v>
      </c>
      <c r="AY7" s="485">
        <v>16.27</v>
      </c>
      <c r="AZ7" s="485">
        <v>13.7</v>
      </c>
      <c r="BA7" s="485">
        <v>0.39250000000000002</v>
      </c>
      <c r="BB7" s="485">
        <v>2.8250000000000002</v>
      </c>
      <c r="BC7" s="485">
        <v>139.25</v>
      </c>
      <c r="BD7" s="503">
        <v>219.25</v>
      </c>
      <c r="BE7" s="498">
        <v>4.24</v>
      </c>
      <c r="BF7" s="489">
        <v>0.2</v>
      </c>
      <c r="BG7" s="489">
        <v>1.4824999999999999</v>
      </c>
      <c r="BH7" s="489">
        <v>0.3</v>
      </c>
      <c r="BI7" s="501">
        <v>0</v>
      </c>
      <c r="BJ7" s="489">
        <v>0</v>
      </c>
      <c r="BK7" s="491">
        <v>0</v>
      </c>
      <c r="BL7" s="489">
        <v>0</v>
      </c>
      <c r="BM7" s="449"/>
      <c r="BN7" s="498">
        <v>1.1954545454545455</v>
      </c>
      <c r="BO7" s="498">
        <v>1.2054545454545453</v>
      </c>
      <c r="BP7" s="505">
        <v>1.5</v>
      </c>
      <c r="BQ7" s="502">
        <v>1.4786363636363637</v>
      </c>
      <c r="BR7" s="544"/>
      <c r="BS7" s="453"/>
      <c r="BT7" s="508"/>
      <c r="BU7" s="508"/>
      <c r="BV7" s="508"/>
      <c r="BW7" s="506">
        <v>1.8</v>
      </c>
      <c r="BX7" s="489">
        <v>1.8</v>
      </c>
      <c r="BY7" s="483">
        <v>3602.5</v>
      </c>
      <c r="BZ7" s="484">
        <v>2752.2857142857142</v>
      </c>
      <c r="CA7" s="487">
        <v>390</v>
      </c>
      <c r="CB7" s="491">
        <v>2.5825</v>
      </c>
      <c r="CC7" s="501">
        <v>1.8975</v>
      </c>
      <c r="CD7" s="543">
        <v>0</v>
      </c>
      <c r="CE7" s="541"/>
      <c r="CF7" s="539">
        <v>182</v>
      </c>
      <c r="CG7" s="491">
        <v>16.75</v>
      </c>
      <c r="CH7" s="509">
        <v>11.0175</v>
      </c>
      <c r="CI7" s="491">
        <v>0</v>
      </c>
      <c r="CJ7" s="489">
        <v>12909</v>
      </c>
      <c r="CK7" s="489">
        <v>1979</v>
      </c>
      <c r="CL7" s="489">
        <v>0</v>
      </c>
      <c r="CM7" s="489">
        <v>9974</v>
      </c>
      <c r="CN7" s="501"/>
      <c r="CO7" s="462">
        <v>19.559999999999999</v>
      </c>
      <c r="CP7" s="462">
        <v>0</v>
      </c>
      <c r="CQ7" s="462">
        <v>3.1</v>
      </c>
      <c r="CR7" s="550">
        <v>39768</v>
      </c>
      <c r="CS7" s="454">
        <v>1440</v>
      </c>
      <c r="CT7" s="471"/>
    </row>
    <row r="8" spans="1:99" s="335" customFormat="1" ht="15.75" customHeight="1" thickBot="1" x14ac:dyDescent="0.25">
      <c r="A8" s="378" t="s">
        <v>221</v>
      </c>
      <c r="B8" s="347"/>
      <c r="C8" s="336"/>
      <c r="D8" s="481">
        <v>37980</v>
      </c>
      <c r="E8" s="481">
        <v>1356.4285714285713</v>
      </c>
      <c r="F8" s="481">
        <v>8017</v>
      </c>
      <c r="G8" s="481">
        <v>8017</v>
      </c>
      <c r="H8" s="481">
        <v>286.32142857142856</v>
      </c>
      <c r="I8" s="482">
        <v>6</v>
      </c>
      <c r="J8" s="483">
        <v>319</v>
      </c>
      <c r="K8" s="484">
        <v>855</v>
      </c>
      <c r="L8" s="484">
        <v>316</v>
      </c>
      <c r="M8" s="485">
        <v>48.1</v>
      </c>
      <c r="N8" s="484">
        <v>151.5</v>
      </c>
      <c r="O8" s="486">
        <v>186</v>
      </c>
      <c r="P8" s="487">
        <v>5</v>
      </c>
      <c r="Q8" s="488">
        <v>64</v>
      </c>
      <c r="R8" s="483">
        <v>56</v>
      </c>
      <c r="S8" s="487">
        <v>10</v>
      </c>
      <c r="T8" s="483"/>
      <c r="U8" s="486">
        <v>0</v>
      </c>
      <c r="V8" s="484">
        <v>0</v>
      </c>
      <c r="W8" s="489">
        <v>0</v>
      </c>
      <c r="X8" s="489">
        <v>0</v>
      </c>
      <c r="Y8" s="489">
        <v>0</v>
      </c>
      <c r="Z8" s="490">
        <v>0</v>
      </c>
      <c r="AA8" s="491">
        <v>0</v>
      </c>
      <c r="AB8" s="489">
        <v>0</v>
      </c>
      <c r="AC8" s="489">
        <v>0</v>
      </c>
      <c r="AD8" s="489">
        <v>0</v>
      </c>
      <c r="AE8" s="450"/>
      <c r="AF8" s="447" t="e">
        <v>#DIV/0!</v>
      </c>
      <c r="AG8" s="448" t="e">
        <v>#DIV/0!</v>
      </c>
      <c r="AH8" s="483">
        <v>4.5</v>
      </c>
      <c r="AI8" s="484">
        <v>22.5</v>
      </c>
      <c r="AJ8" s="494">
        <v>18.333333333333332</v>
      </c>
      <c r="AK8" s="495">
        <v>17.55</v>
      </c>
      <c r="AL8" s="496">
        <v>21.7</v>
      </c>
      <c r="AM8" s="497">
        <v>1.3</v>
      </c>
      <c r="AN8" s="498">
        <v>0.05</v>
      </c>
      <c r="AO8" s="489">
        <v>199</v>
      </c>
      <c r="AP8" s="489">
        <v>10</v>
      </c>
      <c r="AQ8" s="485">
        <v>1.3434999999999999</v>
      </c>
      <c r="AR8" s="501"/>
      <c r="AS8" s="502">
        <v>0</v>
      </c>
      <c r="AT8" s="486">
        <v>1</v>
      </c>
      <c r="AU8" s="484">
        <v>5</v>
      </c>
      <c r="AV8" s="486">
        <v>32.142857142857146</v>
      </c>
      <c r="AW8" s="487">
        <v>7.7142857142857144</v>
      </c>
      <c r="AX8" s="495">
        <v>12.799999999999999</v>
      </c>
      <c r="AY8" s="485">
        <v>8.6466666666666665</v>
      </c>
      <c r="AZ8" s="485">
        <v>6.7833333333333341</v>
      </c>
      <c r="BA8" s="485">
        <v>0.42733333333333334</v>
      </c>
      <c r="BB8" s="485">
        <v>3.7266666666666666</v>
      </c>
      <c r="BC8" s="485">
        <v>136</v>
      </c>
      <c r="BD8" s="503">
        <v>216.66666666666666</v>
      </c>
      <c r="BE8" s="498">
        <v>2.37</v>
      </c>
      <c r="BF8" s="489">
        <v>0.2</v>
      </c>
      <c r="BG8" s="489">
        <v>1.4033333333333333</v>
      </c>
      <c r="BH8" s="489">
        <v>0</v>
      </c>
      <c r="BI8" s="501">
        <v>0</v>
      </c>
      <c r="BJ8" s="489">
        <v>0</v>
      </c>
      <c r="BK8" s="491">
        <v>0</v>
      </c>
      <c r="BL8" s="489">
        <v>0</v>
      </c>
      <c r="BM8" s="449"/>
      <c r="BN8" s="498">
        <v>1.3394999999999999</v>
      </c>
      <c r="BO8" s="498">
        <v>1.3534999999999999</v>
      </c>
      <c r="BP8" s="505">
        <v>1.472</v>
      </c>
      <c r="BQ8" s="502">
        <v>1.4555</v>
      </c>
      <c r="BR8" s="545"/>
      <c r="BS8" s="507"/>
      <c r="BT8" s="510"/>
      <c r="BU8" s="510"/>
      <c r="BV8" s="510"/>
      <c r="BW8" s="506">
        <v>1.8</v>
      </c>
      <c r="BX8" s="489">
        <v>1.8</v>
      </c>
      <c r="BY8" s="483">
        <v>2958.75</v>
      </c>
      <c r="BZ8" s="484">
        <v>2293</v>
      </c>
      <c r="CA8" s="487">
        <v>375.5</v>
      </c>
      <c r="CB8" s="491">
        <v>1.8125</v>
      </c>
      <c r="CC8" s="501">
        <v>1.3824999999999998</v>
      </c>
      <c r="CD8" s="502">
        <v>0</v>
      </c>
      <c r="CE8" s="455"/>
      <c r="CF8" s="514">
        <v>0</v>
      </c>
      <c r="CG8" s="491">
        <v>0</v>
      </c>
      <c r="CH8" s="509">
        <v>0</v>
      </c>
      <c r="CI8" s="491">
        <v>0</v>
      </c>
      <c r="CJ8" s="489">
        <v>0</v>
      </c>
      <c r="CK8" s="489">
        <v>0</v>
      </c>
      <c r="CL8" s="489">
        <v>0</v>
      </c>
      <c r="CM8" s="489">
        <v>0</v>
      </c>
      <c r="CN8" s="515"/>
      <c r="CO8" s="516">
        <v>0</v>
      </c>
      <c r="CP8" s="516">
        <v>0</v>
      </c>
      <c r="CQ8" s="516">
        <v>1.86</v>
      </c>
      <c r="CR8" s="551">
        <v>27594</v>
      </c>
      <c r="CS8" s="454">
        <v>1440</v>
      </c>
      <c r="CT8" s="471"/>
    </row>
    <row r="9" spans="1:99" s="303" customFormat="1" ht="15.75" customHeight="1" thickBot="1" x14ac:dyDescent="0.25">
      <c r="A9" s="378" t="s">
        <v>222</v>
      </c>
      <c r="B9" s="347"/>
      <c r="C9" s="334"/>
      <c r="D9" s="481">
        <v>41914</v>
      </c>
      <c r="E9" s="481">
        <v>1352.0645161290322</v>
      </c>
      <c r="F9" s="481">
        <v>13123</v>
      </c>
      <c r="G9" s="481">
        <v>13123</v>
      </c>
      <c r="H9" s="481">
        <v>423.32258064516128</v>
      </c>
      <c r="I9" s="481">
        <v>7</v>
      </c>
      <c r="J9" s="483">
        <v>234.66666666666666</v>
      </c>
      <c r="K9" s="484">
        <v>640</v>
      </c>
      <c r="L9" s="484">
        <v>243</v>
      </c>
      <c r="M9" s="485">
        <v>41.466666666666669</v>
      </c>
      <c r="N9" s="484">
        <v>69.333333333333329</v>
      </c>
      <c r="O9" s="486">
        <v>195</v>
      </c>
      <c r="P9" s="487">
        <v>7.7</v>
      </c>
      <c r="Q9" s="488">
        <v>68.25</v>
      </c>
      <c r="R9" s="483">
        <v>86</v>
      </c>
      <c r="S9" s="487">
        <v>10</v>
      </c>
      <c r="T9" s="483"/>
      <c r="U9" s="486">
        <v>50</v>
      </c>
      <c r="V9" s="484">
        <v>140</v>
      </c>
      <c r="W9" s="489">
        <v>2.62</v>
      </c>
      <c r="X9" s="489">
        <v>0.5</v>
      </c>
      <c r="Y9" s="489">
        <v>0</v>
      </c>
      <c r="Z9" s="490">
        <v>5.0000000000000001E-3</v>
      </c>
      <c r="AA9" s="491">
        <v>0</v>
      </c>
      <c r="AB9" s="489">
        <v>0</v>
      </c>
      <c r="AC9" s="489">
        <v>0</v>
      </c>
      <c r="AD9" s="489">
        <v>0</v>
      </c>
      <c r="AE9" s="450"/>
      <c r="AF9" s="447" t="e">
        <v>#DIV/0!</v>
      </c>
      <c r="AG9" s="448" t="e">
        <v>#DIV/0!</v>
      </c>
      <c r="AH9" s="483">
        <v>7.5</v>
      </c>
      <c r="AI9" s="484">
        <v>34.75</v>
      </c>
      <c r="AJ9" s="494">
        <v>12.75</v>
      </c>
      <c r="AK9" s="495">
        <v>22.074999999999999</v>
      </c>
      <c r="AL9" s="496">
        <v>38</v>
      </c>
      <c r="AM9" s="497">
        <v>4.0750000000000002</v>
      </c>
      <c r="AN9" s="498">
        <v>0.05</v>
      </c>
      <c r="AO9" s="489">
        <v>233</v>
      </c>
      <c r="AP9" s="489">
        <v>10</v>
      </c>
      <c r="AQ9" s="485">
        <v>1.5225</v>
      </c>
      <c r="AR9" s="501"/>
      <c r="AS9" s="502">
        <v>0</v>
      </c>
      <c r="AT9" s="486">
        <v>1</v>
      </c>
      <c r="AU9" s="484">
        <v>5.4444444444444446</v>
      </c>
      <c r="AV9" s="486">
        <v>36.888888888888886</v>
      </c>
      <c r="AW9" s="487">
        <v>7.1111111111111107</v>
      </c>
      <c r="AX9" s="495">
        <v>19.96</v>
      </c>
      <c r="AY9" s="485">
        <v>17.89</v>
      </c>
      <c r="AZ9" s="485">
        <v>12.656000000000001</v>
      </c>
      <c r="BA9" s="485">
        <v>0.54399999999999993</v>
      </c>
      <c r="BB9" s="485">
        <v>0</v>
      </c>
      <c r="BC9" s="485">
        <v>127.52000000000001</v>
      </c>
      <c r="BD9" s="503">
        <v>204.6</v>
      </c>
      <c r="BE9" s="498">
        <v>3.3849999999999998</v>
      </c>
      <c r="BF9" s="489">
        <v>0.20000000000000004</v>
      </c>
      <c r="BG9" s="489">
        <v>1.2933333333333332</v>
      </c>
      <c r="BH9" s="489">
        <v>0.3</v>
      </c>
      <c r="BI9" s="501">
        <v>0</v>
      </c>
      <c r="BJ9" s="489">
        <v>0</v>
      </c>
      <c r="BK9" s="491">
        <v>0</v>
      </c>
      <c r="BL9" s="489">
        <v>0</v>
      </c>
      <c r="BM9" s="449"/>
      <c r="BN9" s="498">
        <v>1.6413636363636366</v>
      </c>
      <c r="BO9" s="498">
        <v>1.6731818181818179</v>
      </c>
      <c r="BP9" s="505">
        <v>1.5118181818181817</v>
      </c>
      <c r="BQ9" s="502">
        <v>1.489090909090909</v>
      </c>
      <c r="BR9" s="545"/>
      <c r="BS9" s="511"/>
      <c r="BT9" s="508"/>
      <c r="BU9" s="508"/>
      <c r="BV9" s="508"/>
      <c r="BW9" s="506">
        <v>1.8</v>
      </c>
      <c r="BX9" s="489">
        <v>1.8</v>
      </c>
      <c r="BY9" s="483">
        <v>2609.1999999999998</v>
      </c>
      <c r="BZ9" s="484">
        <v>2080.8000000000002</v>
      </c>
      <c r="CA9" s="487">
        <v>358.63636363636363</v>
      </c>
      <c r="CB9" s="491">
        <v>2.09</v>
      </c>
      <c r="CC9" s="501">
        <v>1.645</v>
      </c>
      <c r="CD9" s="502">
        <v>0</v>
      </c>
      <c r="CE9" s="455"/>
      <c r="CF9" s="539">
        <v>0</v>
      </c>
      <c r="CG9" s="491">
        <v>0</v>
      </c>
      <c r="CH9" s="509">
        <v>0</v>
      </c>
      <c r="CI9" s="491">
        <v>0</v>
      </c>
      <c r="CJ9" s="489">
        <v>0</v>
      </c>
      <c r="CK9" s="489">
        <v>0</v>
      </c>
      <c r="CL9" s="489">
        <v>0</v>
      </c>
      <c r="CM9" s="489">
        <v>0</v>
      </c>
      <c r="CN9" s="517"/>
      <c r="CO9" s="462">
        <v>0</v>
      </c>
      <c r="CP9" s="516">
        <v>0</v>
      </c>
      <c r="CQ9" s="462">
        <v>2.48</v>
      </c>
      <c r="CR9" s="550">
        <v>34920</v>
      </c>
      <c r="CS9" s="454">
        <v>1440</v>
      </c>
      <c r="CT9" s="471"/>
    </row>
    <row r="10" spans="1:99" s="335" customFormat="1" ht="13.5" customHeight="1" thickBot="1" x14ac:dyDescent="0.25">
      <c r="A10" s="378" t="s">
        <v>223</v>
      </c>
      <c r="B10" s="346"/>
      <c r="C10" s="336"/>
      <c r="D10" s="481">
        <v>40001</v>
      </c>
      <c r="E10" s="481">
        <v>1333.3666666666666</v>
      </c>
      <c r="F10" s="481">
        <v>30166</v>
      </c>
      <c r="G10" s="481">
        <v>30166</v>
      </c>
      <c r="H10" s="481">
        <v>1005.5333333333333</v>
      </c>
      <c r="I10" s="481">
        <v>3</v>
      </c>
      <c r="J10" s="486">
        <v>365.75</v>
      </c>
      <c r="K10" s="486">
        <v>780</v>
      </c>
      <c r="L10" s="486">
        <v>349.25</v>
      </c>
      <c r="M10" s="484">
        <v>36.724999999999994</v>
      </c>
      <c r="N10" s="484">
        <v>64</v>
      </c>
      <c r="O10" s="486">
        <v>200</v>
      </c>
      <c r="P10" s="488">
        <v>6.66</v>
      </c>
      <c r="Q10" s="492">
        <v>63.25</v>
      </c>
      <c r="R10" s="486">
        <v>0</v>
      </c>
      <c r="S10" s="493">
        <v>10</v>
      </c>
      <c r="T10" s="483"/>
      <c r="U10" s="486">
        <v>0</v>
      </c>
      <c r="V10" s="486">
        <v>0</v>
      </c>
      <c r="W10" s="486">
        <v>0</v>
      </c>
      <c r="X10" s="484">
        <v>0</v>
      </c>
      <c r="Y10" s="484">
        <v>0</v>
      </c>
      <c r="Z10" s="493">
        <v>0</v>
      </c>
      <c r="AA10" s="486">
        <v>0</v>
      </c>
      <c r="AB10" s="486">
        <v>0</v>
      </c>
      <c r="AC10" s="484">
        <v>0</v>
      </c>
      <c r="AD10" s="484">
        <v>0</v>
      </c>
      <c r="AE10" s="459"/>
      <c r="AF10" s="460" t="e">
        <v>#DIV/0!</v>
      </c>
      <c r="AG10" s="461" t="e">
        <v>#DIV/0!</v>
      </c>
      <c r="AH10" s="495">
        <v>6.4</v>
      </c>
      <c r="AI10" s="485">
        <v>31.8</v>
      </c>
      <c r="AJ10" s="503">
        <v>17</v>
      </c>
      <c r="AK10" s="495">
        <v>3.9799999999999995</v>
      </c>
      <c r="AL10" s="485">
        <v>23.04</v>
      </c>
      <c r="AM10" s="503">
        <v>1.9599999999999997</v>
      </c>
      <c r="AN10" s="495">
        <v>0.21</v>
      </c>
      <c r="AO10" s="485">
        <v>225</v>
      </c>
      <c r="AP10" s="485">
        <v>10</v>
      </c>
      <c r="AQ10" s="485">
        <v>1.3880000000000001</v>
      </c>
      <c r="AR10" s="501"/>
      <c r="AS10" s="502">
        <v>0</v>
      </c>
      <c r="AT10" s="486">
        <v>1</v>
      </c>
      <c r="AU10" s="484">
        <v>5.2222222222222223</v>
      </c>
      <c r="AV10" s="486">
        <v>38.555555555555557</v>
      </c>
      <c r="AW10" s="493">
        <v>5.8888888888888893</v>
      </c>
      <c r="AX10" s="495">
        <v>16.125</v>
      </c>
      <c r="AY10" s="496">
        <v>14.139999999999999</v>
      </c>
      <c r="AZ10" s="496">
        <v>8.6125000000000007</v>
      </c>
      <c r="BA10" s="496">
        <v>0.25</v>
      </c>
      <c r="BB10" s="496">
        <v>1.7349999999999999</v>
      </c>
      <c r="BC10" s="496">
        <v>145</v>
      </c>
      <c r="BD10" s="503">
        <v>228</v>
      </c>
      <c r="BE10" s="505">
        <v>5.3524999999999991</v>
      </c>
      <c r="BF10" s="489">
        <v>0.2</v>
      </c>
      <c r="BG10" s="506">
        <v>1.48</v>
      </c>
      <c r="BH10" s="502">
        <v>0.3</v>
      </c>
      <c r="BI10" s="506">
        <v>0</v>
      </c>
      <c r="BJ10" s="489">
        <v>0</v>
      </c>
      <c r="BK10" s="506">
        <v>0</v>
      </c>
      <c r="BL10" s="489">
        <v>0</v>
      </c>
      <c r="BM10" s="456"/>
      <c r="BN10" s="498">
        <v>1.7091666666666665</v>
      </c>
      <c r="BO10" s="498">
        <v>1.718333333333333</v>
      </c>
      <c r="BP10" s="505">
        <v>1.5720833333333335</v>
      </c>
      <c r="BQ10" s="502">
        <v>1.5495833333333338</v>
      </c>
      <c r="BR10" s="545"/>
      <c r="BS10" s="511"/>
      <c r="BT10" s="510"/>
      <c r="BU10" s="510"/>
      <c r="BV10" s="510"/>
      <c r="BW10" s="498">
        <v>1.8</v>
      </c>
      <c r="BX10" s="498">
        <v>1.8</v>
      </c>
      <c r="BY10" s="483">
        <v>2654.2222222222222</v>
      </c>
      <c r="BZ10" s="484">
        <v>2050.8888888888887</v>
      </c>
      <c r="CA10" s="487">
        <v>368.69565217391306</v>
      </c>
      <c r="CB10" s="491">
        <v>1.1194333333333333</v>
      </c>
      <c r="CC10" s="501">
        <v>0.84333333333333327</v>
      </c>
      <c r="CD10" s="502">
        <v>0</v>
      </c>
      <c r="CE10" s="455"/>
      <c r="CF10" s="539">
        <v>207</v>
      </c>
      <c r="CG10" s="491">
        <v>0</v>
      </c>
      <c r="CH10" s="509">
        <v>0</v>
      </c>
      <c r="CI10" s="506">
        <v>0</v>
      </c>
      <c r="CJ10" s="518">
        <v>0</v>
      </c>
      <c r="CK10" s="519">
        <v>0</v>
      </c>
      <c r="CL10" s="518">
        <v>0</v>
      </c>
      <c r="CM10" s="519">
        <v>0</v>
      </c>
      <c r="CN10" s="520"/>
      <c r="CO10" s="516">
        <v>16.760000000000002</v>
      </c>
      <c r="CP10" s="516">
        <v>0</v>
      </c>
      <c r="CQ10" s="516">
        <v>2.38</v>
      </c>
      <c r="CR10" s="551">
        <v>51588</v>
      </c>
      <c r="CS10" s="454">
        <v>1440</v>
      </c>
      <c r="CT10" s="471"/>
    </row>
    <row r="11" spans="1:99" s="335" customFormat="1" ht="13.5" customHeight="1" thickBot="1" x14ac:dyDescent="0.25">
      <c r="A11" s="378" t="s">
        <v>224</v>
      </c>
      <c r="B11" s="347"/>
      <c r="C11" s="334" t="s">
        <v>232</v>
      </c>
      <c r="D11" s="481">
        <v>40685</v>
      </c>
      <c r="E11" s="481">
        <v>1312.4193548387098</v>
      </c>
      <c r="F11" s="481">
        <v>32839</v>
      </c>
      <c r="G11" s="481">
        <v>32839</v>
      </c>
      <c r="H11" s="481">
        <v>1059.3225806451612</v>
      </c>
      <c r="I11" s="481">
        <v>8</v>
      </c>
      <c r="J11" s="483">
        <v>363.5</v>
      </c>
      <c r="K11" s="484">
        <v>873.16666666666663</v>
      </c>
      <c r="L11" s="484">
        <v>364</v>
      </c>
      <c r="M11" s="484">
        <v>41.35</v>
      </c>
      <c r="N11" s="484">
        <v>112</v>
      </c>
      <c r="O11" s="486">
        <v>387</v>
      </c>
      <c r="P11" s="487">
        <v>6.1400000000000006</v>
      </c>
      <c r="Q11" s="488">
        <v>62.75</v>
      </c>
      <c r="R11" s="483">
        <v>85</v>
      </c>
      <c r="S11" s="487">
        <v>10</v>
      </c>
      <c r="T11" s="483"/>
      <c r="U11" s="486">
        <v>121</v>
      </c>
      <c r="V11" s="484">
        <v>231</v>
      </c>
      <c r="W11" s="484">
        <v>14.8</v>
      </c>
      <c r="X11" s="484">
        <v>4</v>
      </c>
      <c r="Y11" s="484">
        <v>0</v>
      </c>
      <c r="Z11" s="493">
        <v>5.0000000000000001E-3</v>
      </c>
      <c r="AA11" s="486">
        <v>0</v>
      </c>
      <c r="AB11" s="484">
        <v>0</v>
      </c>
      <c r="AC11" s="484">
        <v>0</v>
      </c>
      <c r="AD11" s="484">
        <v>0</v>
      </c>
      <c r="AE11" s="450"/>
      <c r="AF11" s="458" t="e">
        <v>#DIV/0!</v>
      </c>
      <c r="AG11" s="459" t="e">
        <v>#DIV/0!</v>
      </c>
      <c r="AH11" s="495">
        <v>4.75</v>
      </c>
      <c r="AI11" s="485">
        <v>28</v>
      </c>
      <c r="AJ11" s="494">
        <v>16.399999999999999</v>
      </c>
      <c r="AK11" s="495">
        <v>19.04</v>
      </c>
      <c r="AL11" s="496">
        <v>30</v>
      </c>
      <c r="AM11" s="497">
        <v>2.56</v>
      </c>
      <c r="AN11" s="495">
        <v>0.49</v>
      </c>
      <c r="AO11" s="485">
        <v>235</v>
      </c>
      <c r="AP11" s="485">
        <v>10</v>
      </c>
      <c r="AQ11" s="485">
        <v>1.482</v>
      </c>
      <c r="AR11" s="501"/>
      <c r="AS11" s="502">
        <v>0</v>
      </c>
      <c r="AT11" s="486">
        <v>1</v>
      </c>
      <c r="AU11" s="484">
        <v>5</v>
      </c>
      <c r="AV11" s="486">
        <v>33.75</v>
      </c>
      <c r="AW11" s="487">
        <v>8.625</v>
      </c>
      <c r="AX11" s="495">
        <v>14.275</v>
      </c>
      <c r="AY11" s="485">
        <v>12.774999999999999</v>
      </c>
      <c r="AZ11" s="485">
        <v>8.8550000000000004</v>
      </c>
      <c r="BA11" s="485">
        <v>0.26500000000000001</v>
      </c>
      <c r="BB11" s="485">
        <v>1.2349999999999999</v>
      </c>
      <c r="BC11" s="485">
        <v>136.5</v>
      </c>
      <c r="BD11" s="503">
        <v>220.5</v>
      </c>
      <c r="BE11" s="498">
        <v>2.9749999999999996</v>
      </c>
      <c r="BF11" s="489">
        <v>0.20150000000000001</v>
      </c>
      <c r="BG11" s="489">
        <v>1.4449999999999998</v>
      </c>
      <c r="BH11" s="489">
        <v>0.3</v>
      </c>
      <c r="BI11" s="501">
        <v>0</v>
      </c>
      <c r="BJ11" s="489">
        <v>0</v>
      </c>
      <c r="BK11" s="491">
        <v>0</v>
      </c>
      <c r="BL11" s="489">
        <v>0</v>
      </c>
      <c r="BM11" s="449"/>
      <c r="BN11" s="498">
        <v>1.7223809523809526</v>
      </c>
      <c r="BO11" s="498">
        <v>1.7323809523809526</v>
      </c>
      <c r="BP11" s="505">
        <v>1.5861904761904759</v>
      </c>
      <c r="BQ11" s="502">
        <v>1.5652380952380949</v>
      </c>
      <c r="BR11" s="545"/>
      <c r="BS11" s="511"/>
      <c r="BT11" s="508"/>
      <c r="BU11" s="508"/>
      <c r="BV11" s="508"/>
      <c r="BW11" s="505">
        <v>1.8</v>
      </c>
      <c r="BX11" s="505">
        <v>1.8</v>
      </c>
      <c r="BY11" s="483">
        <v>3862</v>
      </c>
      <c r="BZ11" s="484">
        <v>2859.5</v>
      </c>
      <c r="CA11" s="487">
        <v>368.69565217391306</v>
      </c>
      <c r="CB11" s="491">
        <v>2.1</v>
      </c>
      <c r="CC11" s="501">
        <v>1.6119999999999997</v>
      </c>
      <c r="CD11" s="502">
        <v>0</v>
      </c>
      <c r="CE11" s="455"/>
      <c r="CF11" s="539">
        <v>192</v>
      </c>
      <c r="CG11" s="521">
        <v>17.5</v>
      </c>
      <c r="CH11" s="522">
        <v>12.8</v>
      </c>
      <c r="CI11" s="491">
        <v>0</v>
      </c>
      <c r="CJ11" s="489">
        <v>10627</v>
      </c>
      <c r="CK11" s="489">
        <v>840</v>
      </c>
      <c r="CL11" s="489">
        <v>0</v>
      </c>
      <c r="CM11" s="489">
        <v>9866</v>
      </c>
      <c r="CN11" s="501"/>
      <c r="CO11" s="462">
        <v>18.940000000000001</v>
      </c>
      <c r="CP11" s="516">
        <v>0</v>
      </c>
      <c r="CQ11" s="462">
        <v>2.14</v>
      </c>
      <c r="CR11" s="513">
        <v>55038</v>
      </c>
      <c r="CS11" s="454">
        <v>1440</v>
      </c>
      <c r="CT11" s="471"/>
    </row>
    <row r="12" spans="1:99" s="335" customFormat="1" ht="13.5" customHeight="1" thickBot="1" x14ac:dyDescent="0.25">
      <c r="A12" s="378" t="s">
        <v>225</v>
      </c>
      <c r="B12" s="347"/>
      <c r="C12" s="336"/>
      <c r="D12" s="481">
        <v>40883</v>
      </c>
      <c r="E12" s="481">
        <v>1362.7666666666667</v>
      </c>
      <c r="F12" s="481">
        <v>32886</v>
      </c>
      <c r="G12" s="481">
        <v>32886</v>
      </c>
      <c r="H12" s="481">
        <v>1060</v>
      </c>
      <c r="I12" s="481">
        <v>5</v>
      </c>
      <c r="J12" s="483">
        <v>369.42857142857144</v>
      </c>
      <c r="K12" s="484">
        <v>1040</v>
      </c>
      <c r="L12" s="484">
        <v>452.875</v>
      </c>
      <c r="M12" s="484">
        <v>44.924999999999997</v>
      </c>
      <c r="N12" s="484">
        <v>76.666666666666671</v>
      </c>
      <c r="O12" s="486">
        <v>186</v>
      </c>
      <c r="P12" s="487">
        <v>7.3</v>
      </c>
      <c r="Q12" s="488">
        <v>69.2</v>
      </c>
      <c r="R12" s="483">
        <v>59</v>
      </c>
      <c r="S12" s="487">
        <v>10</v>
      </c>
      <c r="T12" s="483"/>
      <c r="U12" s="486">
        <v>116</v>
      </c>
      <c r="V12" s="484">
        <v>233</v>
      </c>
      <c r="W12" s="484">
        <v>15</v>
      </c>
      <c r="X12" s="484">
        <v>1.1000000000000001</v>
      </c>
      <c r="Y12" s="484">
        <v>0</v>
      </c>
      <c r="Z12" s="493">
        <v>5.0000000000000001E-3</v>
      </c>
      <c r="AA12" s="486">
        <v>0</v>
      </c>
      <c r="AB12" s="484">
        <v>0</v>
      </c>
      <c r="AC12" s="484">
        <v>0</v>
      </c>
      <c r="AD12" s="484">
        <v>0</v>
      </c>
      <c r="AE12" s="459"/>
      <c r="AF12" s="458" t="e">
        <v>#DIV/0!</v>
      </c>
      <c r="AG12" s="459" t="e">
        <v>#DIV/0!</v>
      </c>
      <c r="AH12" s="495">
        <v>8</v>
      </c>
      <c r="AI12" s="485">
        <v>30.5</v>
      </c>
      <c r="AJ12" s="494">
        <v>16.833333333333332</v>
      </c>
      <c r="AK12" s="495">
        <v>16.288333333333334</v>
      </c>
      <c r="AL12" s="496">
        <v>24.833333333333332</v>
      </c>
      <c r="AM12" s="497">
        <v>8.2833333333333332</v>
      </c>
      <c r="AN12" s="495">
        <v>0.23</v>
      </c>
      <c r="AO12" s="485">
        <v>215</v>
      </c>
      <c r="AP12" s="485">
        <v>10</v>
      </c>
      <c r="AQ12" s="485">
        <v>1.448</v>
      </c>
      <c r="AR12" s="501"/>
      <c r="AS12" s="502">
        <v>0</v>
      </c>
      <c r="AT12" s="486">
        <v>1.6666666666666667</v>
      </c>
      <c r="AU12" s="484">
        <v>5</v>
      </c>
      <c r="AV12" s="486">
        <v>40.333333333333336</v>
      </c>
      <c r="AW12" s="487">
        <v>8.3333333333333339</v>
      </c>
      <c r="AX12" s="495">
        <v>15.64</v>
      </c>
      <c r="AY12" s="485">
        <v>13.996</v>
      </c>
      <c r="AZ12" s="485">
        <v>11.026000000000002</v>
      </c>
      <c r="BA12" s="485">
        <v>0.17299999999999999</v>
      </c>
      <c r="BB12" s="485">
        <v>1.474</v>
      </c>
      <c r="BC12" s="485">
        <v>144.4</v>
      </c>
      <c r="BD12" s="503">
        <v>236.8</v>
      </c>
      <c r="BE12" s="498">
        <v>3.8400000000000003</v>
      </c>
      <c r="BF12" s="489">
        <v>0.20166666666666666</v>
      </c>
      <c r="BG12" s="489">
        <v>1.5400000000000003</v>
      </c>
      <c r="BH12" s="489">
        <v>0.3</v>
      </c>
      <c r="BI12" s="501">
        <v>0</v>
      </c>
      <c r="BJ12" s="489">
        <v>0</v>
      </c>
      <c r="BK12" s="491">
        <v>0</v>
      </c>
      <c r="BL12" s="489">
        <v>0</v>
      </c>
      <c r="BM12" s="449"/>
      <c r="BN12" s="498">
        <v>1.7563636363636363</v>
      </c>
      <c r="BO12" s="498">
        <v>1.7663636363636366</v>
      </c>
      <c r="BP12" s="505">
        <v>1.5754545454545452</v>
      </c>
      <c r="BQ12" s="502">
        <v>1.5618181818181818</v>
      </c>
      <c r="BR12" s="545"/>
      <c r="BS12" s="511"/>
      <c r="BT12" s="510"/>
      <c r="BU12" s="512"/>
      <c r="BV12" s="510"/>
      <c r="BW12" s="498">
        <v>1.8</v>
      </c>
      <c r="BX12" s="498">
        <v>1.8</v>
      </c>
      <c r="BY12" s="483">
        <v>3925.3333333333335</v>
      </c>
      <c r="BZ12" s="484">
        <v>2738.25</v>
      </c>
      <c r="CA12" s="487">
        <v>368.69565217391306</v>
      </c>
      <c r="CB12" s="491">
        <v>2.3795000000000002</v>
      </c>
      <c r="CC12" s="501">
        <v>1.7656666666666669</v>
      </c>
      <c r="CD12" s="502">
        <v>0</v>
      </c>
      <c r="CE12" s="455"/>
      <c r="CF12" s="539">
        <v>0</v>
      </c>
      <c r="CG12" s="491">
        <v>0</v>
      </c>
      <c r="CH12" s="509">
        <v>0</v>
      </c>
      <c r="CI12" s="491">
        <v>0</v>
      </c>
      <c r="CJ12" s="489">
        <v>0</v>
      </c>
      <c r="CK12" s="489">
        <v>0</v>
      </c>
      <c r="CL12" s="489">
        <v>0</v>
      </c>
      <c r="CM12" s="489">
        <v>0</v>
      </c>
      <c r="CN12" s="501"/>
      <c r="CO12" s="502">
        <v>0</v>
      </c>
      <c r="CP12" s="516">
        <v>0</v>
      </c>
      <c r="CQ12" s="516">
        <v>2.6</v>
      </c>
      <c r="CR12" s="547">
        <v>52926</v>
      </c>
      <c r="CS12" s="454">
        <v>1440</v>
      </c>
      <c r="CT12" s="471"/>
    </row>
    <row r="13" spans="1:99" s="335" customFormat="1" ht="13.5" customHeight="1" thickBot="1" x14ac:dyDescent="0.25">
      <c r="A13" s="378" t="s">
        <v>226</v>
      </c>
      <c r="B13" s="346"/>
      <c r="C13" s="334"/>
      <c r="D13" s="481">
        <v>40342</v>
      </c>
      <c r="E13" s="481">
        <v>1301.3548387096773</v>
      </c>
      <c r="F13" s="481">
        <v>41801</v>
      </c>
      <c r="G13" s="481">
        <v>41801</v>
      </c>
      <c r="H13" s="481">
        <v>1348.4193548387098</v>
      </c>
      <c r="I13" s="481">
        <v>9</v>
      </c>
      <c r="J13" s="483">
        <v>348.66666666666669</v>
      </c>
      <c r="K13" s="484">
        <v>835.33333333333337</v>
      </c>
      <c r="L13" s="484">
        <v>355.16666666666669</v>
      </c>
      <c r="M13" s="484">
        <v>38.449999999999996</v>
      </c>
      <c r="N13" s="484">
        <v>84</v>
      </c>
      <c r="O13" s="486">
        <v>173</v>
      </c>
      <c r="P13" s="487">
        <v>5.403999999999999</v>
      </c>
      <c r="Q13" s="488">
        <v>59.75</v>
      </c>
      <c r="R13" s="483">
        <v>67</v>
      </c>
      <c r="S13" s="487">
        <v>10</v>
      </c>
      <c r="T13" s="483"/>
      <c r="U13" s="486">
        <v>111</v>
      </c>
      <c r="V13" s="484">
        <v>191</v>
      </c>
      <c r="W13" s="484">
        <v>11.1</v>
      </c>
      <c r="X13" s="484">
        <v>2.7</v>
      </c>
      <c r="Y13" s="484">
        <v>0</v>
      </c>
      <c r="Z13" s="493">
        <v>5.0000000000000001E-3</v>
      </c>
      <c r="AA13" s="486">
        <v>0</v>
      </c>
      <c r="AB13" s="484">
        <v>0</v>
      </c>
      <c r="AC13" s="484">
        <v>0</v>
      </c>
      <c r="AD13" s="484">
        <v>0</v>
      </c>
      <c r="AE13" s="450"/>
      <c r="AF13" s="458" t="e">
        <v>#DIV/0!</v>
      </c>
      <c r="AG13" s="459" t="e">
        <v>#DIV/0!</v>
      </c>
      <c r="AH13" s="495">
        <v>6</v>
      </c>
      <c r="AI13" s="485">
        <v>24.2</v>
      </c>
      <c r="AJ13" s="494">
        <v>15.6</v>
      </c>
      <c r="AK13" s="495">
        <v>22.68</v>
      </c>
      <c r="AL13" s="496">
        <v>23.64</v>
      </c>
      <c r="AM13" s="497">
        <v>3.94</v>
      </c>
      <c r="AN13" s="495">
        <v>0.09</v>
      </c>
      <c r="AO13" s="485">
        <v>199</v>
      </c>
      <c r="AP13" s="485">
        <v>10</v>
      </c>
      <c r="AQ13" s="485">
        <v>1.468</v>
      </c>
      <c r="AR13" s="501"/>
      <c r="AS13" s="502">
        <v>0</v>
      </c>
      <c r="AT13" s="486">
        <v>1</v>
      </c>
      <c r="AU13" s="484">
        <v>6.5</v>
      </c>
      <c r="AV13" s="486">
        <v>47.25</v>
      </c>
      <c r="AW13" s="487">
        <v>13.875</v>
      </c>
      <c r="AX13" s="495">
        <v>24.5</v>
      </c>
      <c r="AY13" s="485">
        <v>23.784999999999997</v>
      </c>
      <c r="AZ13" s="485">
        <v>17.625</v>
      </c>
      <c r="BA13" s="485">
        <v>0.21425</v>
      </c>
      <c r="BB13" s="485">
        <v>0.56200000000000006</v>
      </c>
      <c r="BC13" s="485">
        <v>145.25</v>
      </c>
      <c r="BD13" s="503">
        <v>246.4</v>
      </c>
      <c r="BE13" s="498">
        <v>1.8399999999999999</v>
      </c>
      <c r="BF13" s="489">
        <v>0.2</v>
      </c>
      <c r="BG13" s="489">
        <v>1.5525</v>
      </c>
      <c r="BH13" s="489">
        <v>0.3</v>
      </c>
      <c r="BI13" s="501">
        <v>0</v>
      </c>
      <c r="BJ13" s="489">
        <v>0</v>
      </c>
      <c r="BK13" s="491">
        <v>0</v>
      </c>
      <c r="BL13" s="489">
        <v>0</v>
      </c>
      <c r="BM13" s="449"/>
      <c r="BN13" s="498">
        <v>1.6921739130434781</v>
      </c>
      <c r="BO13" s="498">
        <v>1.7069565217391303</v>
      </c>
      <c r="BP13" s="505">
        <v>1.496086956521739</v>
      </c>
      <c r="BQ13" s="502">
        <v>1.4804347826086959</v>
      </c>
      <c r="BR13" s="545"/>
      <c r="BS13" s="511"/>
      <c r="BT13" s="508"/>
      <c r="BU13" s="508"/>
      <c r="BV13" s="508"/>
      <c r="BW13" s="498">
        <v>1.8</v>
      </c>
      <c r="BX13" s="498">
        <v>1.8</v>
      </c>
      <c r="BY13" s="483">
        <v>3908.2222222222222</v>
      </c>
      <c r="BZ13" s="484">
        <v>2974.25</v>
      </c>
      <c r="CA13" s="487">
        <v>368.69565217391306</v>
      </c>
      <c r="CB13" s="491">
        <v>1.65</v>
      </c>
      <c r="CC13" s="501">
        <v>1.1950000000000001</v>
      </c>
      <c r="CD13" s="502">
        <v>0</v>
      </c>
      <c r="CE13" s="455"/>
      <c r="CF13" s="539">
        <v>201</v>
      </c>
      <c r="CG13" s="491">
        <v>18.600000000000001</v>
      </c>
      <c r="CH13" s="509">
        <v>13.1</v>
      </c>
      <c r="CI13" s="491">
        <v>0</v>
      </c>
      <c r="CJ13" s="489">
        <v>21071</v>
      </c>
      <c r="CK13" s="489">
        <v>2703</v>
      </c>
      <c r="CL13" s="489">
        <v>0</v>
      </c>
      <c r="CM13" s="489">
        <v>12155</v>
      </c>
      <c r="CN13" s="523"/>
      <c r="CO13" s="462">
        <v>18.96</v>
      </c>
      <c r="CP13" s="516">
        <v>0</v>
      </c>
      <c r="CQ13" s="462">
        <v>0</v>
      </c>
      <c r="CR13" s="547">
        <v>62232</v>
      </c>
      <c r="CS13" s="454">
        <v>1440</v>
      </c>
      <c r="CT13" s="471"/>
    </row>
    <row r="14" spans="1:99" s="335" customFormat="1" ht="13.5" customHeight="1" thickBot="1" x14ac:dyDescent="0.25">
      <c r="A14" s="378" t="s">
        <v>227</v>
      </c>
      <c r="B14" s="347"/>
      <c r="C14" s="336"/>
      <c r="D14" s="481">
        <v>37058</v>
      </c>
      <c r="E14" s="481">
        <v>1195.4193548387098</v>
      </c>
      <c r="F14" s="481">
        <v>40426</v>
      </c>
      <c r="G14" s="481">
        <v>40426</v>
      </c>
      <c r="H14" s="481">
        <v>1304.0645161290322</v>
      </c>
      <c r="I14" s="481">
        <v>7</v>
      </c>
      <c r="J14" s="483">
        <v>422.66666666666669</v>
      </c>
      <c r="K14" s="484">
        <v>872.16666666666663</v>
      </c>
      <c r="L14" s="484">
        <v>368.83333333333331</v>
      </c>
      <c r="M14" s="484">
        <v>39.083333333333336</v>
      </c>
      <c r="N14" s="484">
        <v>119</v>
      </c>
      <c r="O14" s="486">
        <v>194</v>
      </c>
      <c r="P14" s="487">
        <v>6.7799999999999994</v>
      </c>
      <c r="Q14" s="488">
        <v>66</v>
      </c>
      <c r="R14" s="483">
        <v>82</v>
      </c>
      <c r="S14" s="487">
        <v>10</v>
      </c>
      <c r="T14" s="483"/>
      <c r="U14" s="486">
        <v>154</v>
      </c>
      <c r="V14" s="484">
        <v>269</v>
      </c>
      <c r="W14" s="484">
        <v>8.1</v>
      </c>
      <c r="X14" s="484">
        <v>7.6</v>
      </c>
      <c r="Y14" s="484">
        <v>0</v>
      </c>
      <c r="Z14" s="493">
        <v>0</v>
      </c>
      <c r="AA14" s="486">
        <v>0</v>
      </c>
      <c r="AB14" s="484">
        <v>0</v>
      </c>
      <c r="AC14" s="484">
        <v>0</v>
      </c>
      <c r="AD14" s="484">
        <v>0</v>
      </c>
      <c r="AE14" s="450"/>
      <c r="AF14" s="458" t="e">
        <v>#DIV/0!</v>
      </c>
      <c r="AG14" s="459" t="e">
        <v>#DIV/0!</v>
      </c>
      <c r="AH14" s="495">
        <v>7.56</v>
      </c>
      <c r="AI14" s="485">
        <v>20.8</v>
      </c>
      <c r="AJ14" s="494">
        <v>16.2</v>
      </c>
      <c r="AK14" s="495">
        <v>9.1059999999999999</v>
      </c>
      <c r="AL14" s="496">
        <v>18.880000000000003</v>
      </c>
      <c r="AM14" s="497">
        <v>3.3200000000000003</v>
      </c>
      <c r="AN14" s="495">
        <v>0.05</v>
      </c>
      <c r="AO14" s="485">
        <v>199</v>
      </c>
      <c r="AP14" s="485">
        <v>10</v>
      </c>
      <c r="AQ14" s="485">
        <v>1.238</v>
      </c>
      <c r="AR14" s="501"/>
      <c r="AS14" s="502">
        <v>0</v>
      </c>
      <c r="AT14" s="486">
        <v>1</v>
      </c>
      <c r="AU14" s="484">
        <v>5</v>
      </c>
      <c r="AV14" s="486">
        <v>36.125</v>
      </c>
      <c r="AW14" s="487">
        <v>7.375</v>
      </c>
      <c r="AX14" s="495">
        <v>15.25</v>
      </c>
      <c r="AY14" s="485">
        <v>8.7125000000000004</v>
      </c>
      <c r="AZ14" s="485">
        <v>6</v>
      </c>
      <c r="BA14" s="485">
        <v>1.1052500000000001</v>
      </c>
      <c r="BB14" s="485">
        <v>5.4317500000000001</v>
      </c>
      <c r="BC14" s="485">
        <v>117</v>
      </c>
      <c r="BD14" s="503">
        <v>232.86750000000001</v>
      </c>
      <c r="BE14" s="498">
        <v>8.19</v>
      </c>
      <c r="BF14" s="489">
        <v>0.2</v>
      </c>
      <c r="BG14" s="489">
        <v>1.3824999999999998</v>
      </c>
      <c r="BH14" s="489">
        <v>0.3</v>
      </c>
      <c r="BI14" s="501">
        <v>0</v>
      </c>
      <c r="BJ14" s="489">
        <v>0</v>
      </c>
      <c r="BK14" s="491">
        <v>0</v>
      </c>
      <c r="BL14" s="489">
        <v>0</v>
      </c>
      <c r="BM14" s="449"/>
      <c r="BN14" s="498">
        <v>1.6743478260869566</v>
      </c>
      <c r="BO14" s="498">
        <v>1.6386956521739129</v>
      </c>
      <c r="BP14" s="505">
        <v>1.4630434782608701</v>
      </c>
      <c r="BQ14" s="502">
        <v>1.42</v>
      </c>
      <c r="BR14" s="545"/>
      <c r="BS14" s="511"/>
      <c r="BT14" s="510"/>
      <c r="BU14" s="510"/>
      <c r="BV14" s="510"/>
      <c r="BW14" s="506">
        <v>1.8</v>
      </c>
      <c r="BX14" s="489">
        <v>1.8</v>
      </c>
      <c r="BY14" s="483">
        <v>3201.5</v>
      </c>
      <c r="BZ14" s="484">
        <v>2442.5</v>
      </c>
      <c r="CA14" s="487">
        <v>368.69565217391306</v>
      </c>
      <c r="CB14" s="491">
        <v>1.1400000000000001</v>
      </c>
      <c r="CC14" s="501">
        <v>0.81399999999999983</v>
      </c>
      <c r="CD14" s="502">
        <v>0</v>
      </c>
      <c r="CE14" s="455"/>
      <c r="CF14" s="539">
        <v>230</v>
      </c>
      <c r="CG14" s="491">
        <v>20.100000000000001</v>
      </c>
      <c r="CH14" s="509">
        <v>67.16</v>
      </c>
      <c r="CI14" s="491">
        <v>0</v>
      </c>
      <c r="CJ14" s="489">
        <v>21515.5</v>
      </c>
      <c r="CK14" s="489">
        <v>2934</v>
      </c>
      <c r="CL14" s="489">
        <v>0</v>
      </c>
      <c r="CM14" s="489">
        <v>12952</v>
      </c>
      <c r="CN14" s="501"/>
      <c r="CO14" s="516">
        <v>0</v>
      </c>
      <c r="CP14" s="516">
        <v>0</v>
      </c>
      <c r="CQ14" s="516">
        <v>2.04</v>
      </c>
      <c r="CR14" s="548">
        <v>74034</v>
      </c>
      <c r="CS14" s="454">
        <v>1440</v>
      </c>
      <c r="CT14" s="471"/>
    </row>
    <row r="15" spans="1:99" s="335" customFormat="1" ht="13.5" customHeight="1" thickBot="1" x14ac:dyDescent="0.25">
      <c r="A15" s="378" t="s">
        <v>228</v>
      </c>
      <c r="B15" s="347"/>
      <c r="C15" s="334"/>
      <c r="D15" s="481">
        <v>35596</v>
      </c>
      <c r="E15" s="481">
        <v>1186.5333333333333</v>
      </c>
      <c r="F15" s="481">
        <v>34322</v>
      </c>
      <c r="G15" s="481">
        <v>34322</v>
      </c>
      <c r="H15" s="481">
        <v>1144.0666666666666</v>
      </c>
      <c r="I15" s="481">
        <v>7</v>
      </c>
      <c r="J15" s="483">
        <v>350</v>
      </c>
      <c r="K15" s="484">
        <v>751.14285714285711</v>
      </c>
      <c r="L15" s="484">
        <v>331.42857142857144</v>
      </c>
      <c r="M15" s="484">
        <v>36.328571428571429</v>
      </c>
      <c r="N15" s="484">
        <v>80.5</v>
      </c>
      <c r="O15" s="486">
        <v>143</v>
      </c>
      <c r="P15" s="487">
        <v>6.25</v>
      </c>
      <c r="Q15" s="488">
        <v>56</v>
      </c>
      <c r="R15" s="483">
        <v>60</v>
      </c>
      <c r="S15" s="487">
        <v>10</v>
      </c>
      <c r="T15" s="483"/>
      <c r="U15" s="486">
        <v>87</v>
      </c>
      <c r="V15" s="484">
        <v>227</v>
      </c>
      <c r="W15" s="484">
        <v>6.9</v>
      </c>
      <c r="X15" s="484">
        <v>3.4</v>
      </c>
      <c r="Y15" s="484">
        <v>0</v>
      </c>
      <c r="Z15" s="493">
        <v>5.0000000000000001E-3</v>
      </c>
      <c r="AA15" s="486">
        <v>0</v>
      </c>
      <c r="AB15" s="484">
        <v>0</v>
      </c>
      <c r="AC15" s="484">
        <v>0</v>
      </c>
      <c r="AD15" s="484">
        <v>0</v>
      </c>
      <c r="AE15" s="450"/>
      <c r="AF15" s="451" t="e">
        <v>#DIV/0!</v>
      </c>
      <c r="AG15" s="452" t="e">
        <v>#DIV/0!</v>
      </c>
      <c r="AH15" s="495">
        <v>6.333333333333333</v>
      </c>
      <c r="AI15" s="485">
        <v>18.666666666666668</v>
      </c>
      <c r="AJ15" s="494">
        <v>13.166666666666666</v>
      </c>
      <c r="AK15" s="495">
        <v>13.233333333333334</v>
      </c>
      <c r="AL15" s="496">
        <v>17.166666666666668</v>
      </c>
      <c r="AM15" s="497">
        <v>4.1833333333333327</v>
      </c>
      <c r="AN15" s="495">
        <v>0.05</v>
      </c>
      <c r="AO15" s="485">
        <v>183</v>
      </c>
      <c r="AP15" s="485">
        <v>10</v>
      </c>
      <c r="AQ15" s="485">
        <v>1.1966666666666665</v>
      </c>
      <c r="AR15" s="501"/>
      <c r="AS15" s="502">
        <v>0</v>
      </c>
      <c r="AT15" s="486">
        <v>1</v>
      </c>
      <c r="AU15" s="484">
        <v>5</v>
      </c>
      <c r="AV15" s="486">
        <v>42.75</v>
      </c>
      <c r="AW15" s="487">
        <v>9.75</v>
      </c>
      <c r="AX15" s="495">
        <v>28.119999999999997</v>
      </c>
      <c r="AY15" s="485">
        <v>25.198</v>
      </c>
      <c r="AZ15" s="485">
        <v>22.66</v>
      </c>
      <c r="BA15" s="485">
        <v>0.4880000000000001</v>
      </c>
      <c r="BB15" s="485">
        <v>2.4342000000000001</v>
      </c>
      <c r="BC15" s="485">
        <v>125.4</v>
      </c>
      <c r="BD15" s="503">
        <v>195.2</v>
      </c>
      <c r="BE15" s="498">
        <v>5.3533333333333344</v>
      </c>
      <c r="BF15" s="489">
        <v>0.28266666666666668</v>
      </c>
      <c r="BG15" s="489">
        <v>1.395</v>
      </c>
      <c r="BH15" s="489">
        <v>0.3</v>
      </c>
      <c r="BI15" s="501">
        <v>0</v>
      </c>
      <c r="BJ15" s="489">
        <v>0</v>
      </c>
      <c r="BK15" s="491">
        <v>0</v>
      </c>
      <c r="BL15" s="489">
        <v>0</v>
      </c>
      <c r="BM15" s="449"/>
      <c r="BN15" s="498">
        <v>1.579</v>
      </c>
      <c r="BO15" s="498">
        <v>1.5690000000000002</v>
      </c>
      <c r="BP15" s="505">
        <v>1.4929999999999999</v>
      </c>
      <c r="BQ15" s="502">
        <v>1.4549999999999996</v>
      </c>
      <c r="BR15" s="545"/>
      <c r="BS15" s="511"/>
      <c r="BT15" s="508"/>
      <c r="BU15" s="508"/>
      <c r="BV15" s="508"/>
      <c r="BW15" s="498">
        <v>1.8</v>
      </c>
      <c r="BX15" s="498">
        <v>1.8</v>
      </c>
      <c r="BY15" s="483">
        <v>4263.1428571428569</v>
      </c>
      <c r="BZ15" s="484">
        <v>3307.7142857142858</v>
      </c>
      <c r="CA15" s="487">
        <v>368.69565217391306</v>
      </c>
      <c r="CB15" s="491">
        <v>1.1379999999999999</v>
      </c>
      <c r="CC15" s="501">
        <v>0.81199999999999994</v>
      </c>
      <c r="CD15" s="502">
        <v>0</v>
      </c>
      <c r="CE15" s="455"/>
      <c r="CF15" s="539">
        <v>145</v>
      </c>
      <c r="CG15" s="491">
        <v>0</v>
      </c>
      <c r="CH15" s="509">
        <v>0</v>
      </c>
      <c r="CI15" s="491">
        <v>0</v>
      </c>
      <c r="CJ15" s="489">
        <v>0</v>
      </c>
      <c r="CK15" s="489">
        <v>0</v>
      </c>
      <c r="CL15" s="489">
        <v>0</v>
      </c>
      <c r="CM15" s="489">
        <v>0</v>
      </c>
      <c r="CN15" s="523"/>
      <c r="CO15" s="462">
        <v>18</v>
      </c>
      <c r="CP15" s="516">
        <v>0</v>
      </c>
      <c r="CQ15" s="462">
        <v>3.02</v>
      </c>
      <c r="CR15" s="549">
        <v>57750</v>
      </c>
      <c r="CS15" s="454">
        <v>1440</v>
      </c>
      <c r="CT15" s="471"/>
    </row>
    <row r="16" spans="1:99" s="335" customFormat="1" ht="15.75" customHeight="1" thickBot="1" x14ac:dyDescent="0.25">
      <c r="A16" s="378" t="s">
        <v>229</v>
      </c>
      <c r="B16" s="346"/>
      <c r="C16" s="336"/>
      <c r="D16" s="481">
        <v>39451</v>
      </c>
      <c r="E16" s="481">
        <v>1272.6129032258063</v>
      </c>
      <c r="F16" s="481">
        <v>33620</v>
      </c>
      <c r="G16" s="481">
        <v>33620</v>
      </c>
      <c r="H16" s="481">
        <v>1084.516129032258</v>
      </c>
      <c r="I16" s="481">
        <v>6</v>
      </c>
      <c r="J16" s="483">
        <v>402.5</v>
      </c>
      <c r="K16" s="484">
        <v>777.8</v>
      </c>
      <c r="L16" s="484">
        <v>379.4</v>
      </c>
      <c r="M16" s="484">
        <v>45.175000000000004</v>
      </c>
      <c r="N16" s="484">
        <v>71</v>
      </c>
      <c r="O16" s="486">
        <v>168</v>
      </c>
      <c r="P16" s="487">
        <v>6.8857499999999998</v>
      </c>
      <c r="Q16" s="488">
        <v>63.377499999999998</v>
      </c>
      <c r="R16" s="483">
        <v>77</v>
      </c>
      <c r="S16" s="487">
        <v>10</v>
      </c>
      <c r="T16" s="483"/>
      <c r="U16" s="486">
        <v>175</v>
      </c>
      <c r="V16" s="484">
        <v>255</v>
      </c>
      <c r="W16" s="484">
        <v>5.15</v>
      </c>
      <c r="X16" s="484">
        <v>8.5</v>
      </c>
      <c r="Y16" s="484">
        <v>0</v>
      </c>
      <c r="Z16" s="493">
        <v>5.0000000000000001E-3</v>
      </c>
      <c r="AA16" s="486">
        <v>0</v>
      </c>
      <c r="AB16" s="484">
        <v>0</v>
      </c>
      <c r="AC16" s="484">
        <v>0</v>
      </c>
      <c r="AD16" s="484">
        <v>0</v>
      </c>
      <c r="AE16" s="450"/>
      <c r="AF16" s="458" t="e">
        <v>#DIV/0!</v>
      </c>
      <c r="AG16" s="457" t="e">
        <v>#DIV/0!</v>
      </c>
      <c r="AH16" s="495">
        <v>5</v>
      </c>
      <c r="AI16" s="485">
        <v>27.25</v>
      </c>
      <c r="AJ16" s="494">
        <v>9.75</v>
      </c>
      <c r="AK16" s="495">
        <v>11.9</v>
      </c>
      <c r="AL16" s="496">
        <v>17.75</v>
      </c>
      <c r="AM16" s="497">
        <v>10.8</v>
      </c>
      <c r="AN16" s="495">
        <v>0.05</v>
      </c>
      <c r="AO16" s="485">
        <v>163</v>
      </c>
      <c r="AP16" s="485">
        <v>10</v>
      </c>
      <c r="AQ16" s="485">
        <v>0.9</v>
      </c>
      <c r="AR16" s="501"/>
      <c r="AS16" s="502">
        <v>0</v>
      </c>
      <c r="AT16" s="486">
        <v>1E-3</v>
      </c>
      <c r="AU16" s="484">
        <v>5.166666666666667</v>
      </c>
      <c r="AV16" s="486">
        <v>32</v>
      </c>
      <c r="AW16" s="487">
        <v>5.333333333333333</v>
      </c>
      <c r="AX16" s="495">
        <v>28.5</v>
      </c>
      <c r="AY16" s="485">
        <v>25.305</v>
      </c>
      <c r="AZ16" s="485">
        <v>17.05</v>
      </c>
      <c r="BA16" s="485">
        <v>0.46499999999999997</v>
      </c>
      <c r="BB16" s="485">
        <v>2.73</v>
      </c>
      <c r="BC16" s="485">
        <v>126.25</v>
      </c>
      <c r="BD16" s="503">
        <v>196.5</v>
      </c>
      <c r="BE16" s="498">
        <v>8.5500000000000007</v>
      </c>
      <c r="BF16" s="489">
        <v>0.25600000000000001</v>
      </c>
      <c r="BG16" s="489">
        <v>1.37</v>
      </c>
      <c r="BH16" s="489">
        <v>0.3</v>
      </c>
      <c r="BI16" s="501">
        <v>0</v>
      </c>
      <c r="BJ16" s="489">
        <v>0</v>
      </c>
      <c r="BK16" s="491">
        <v>0</v>
      </c>
      <c r="BL16" s="489">
        <v>0</v>
      </c>
      <c r="BM16" s="449"/>
      <c r="BN16" s="498">
        <v>1.7931578947368421</v>
      </c>
      <c r="BO16" s="498">
        <v>1.7978947368421054</v>
      </c>
      <c r="BP16" s="505">
        <v>1.554736842105263</v>
      </c>
      <c r="BQ16" s="502">
        <v>1.5415789473684214</v>
      </c>
      <c r="BR16" s="545"/>
      <c r="BS16" s="511"/>
      <c r="BT16" s="510"/>
      <c r="BU16" s="510"/>
      <c r="BV16" s="510"/>
      <c r="BW16" s="505">
        <v>1.8</v>
      </c>
      <c r="BX16" s="505">
        <v>1.8</v>
      </c>
      <c r="BY16" s="483">
        <v>3278.8</v>
      </c>
      <c r="BZ16" s="484">
        <v>2606.4</v>
      </c>
      <c r="CA16" s="487">
        <v>361.5</v>
      </c>
      <c r="CB16" s="491">
        <v>1.1225000000000001</v>
      </c>
      <c r="CC16" s="501">
        <v>0.8175</v>
      </c>
      <c r="CD16" s="502">
        <v>0</v>
      </c>
      <c r="CE16" s="455"/>
      <c r="CF16" s="539">
        <v>634</v>
      </c>
      <c r="CG16" s="491">
        <v>20.399999999999999</v>
      </c>
      <c r="CH16" s="509">
        <v>13.9</v>
      </c>
      <c r="CI16" s="491">
        <v>0</v>
      </c>
      <c r="CJ16" s="489">
        <v>17294</v>
      </c>
      <c r="CK16" s="489">
        <v>2127</v>
      </c>
      <c r="CL16" s="489">
        <v>0</v>
      </c>
      <c r="CM16" s="489">
        <v>12850</v>
      </c>
      <c r="CN16" s="501"/>
      <c r="CO16" s="516">
        <v>55.099999999999994</v>
      </c>
      <c r="CP16" s="516">
        <v>0</v>
      </c>
      <c r="CQ16" s="516">
        <v>1.88</v>
      </c>
      <c r="CR16" s="548">
        <v>46212</v>
      </c>
      <c r="CS16" s="454">
        <v>1440</v>
      </c>
      <c r="CT16" s="471"/>
      <c r="CU16" s="434"/>
    </row>
    <row r="17" spans="1:99" s="335" customFormat="1" ht="13.5" customHeight="1" thickBot="1" x14ac:dyDescent="0.25">
      <c r="A17" s="378" t="s">
        <v>230</v>
      </c>
      <c r="B17" s="347"/>
      <c r="C17" s="334"/>
      <c r="D17" s="481">
        <v>37242</v>
      </c>
      <c r="E17" s="481">
        <v>1241.4000000000001</v>
      </c>
      <c r="F17" s="481">
        <v>24958</v>
      </c>
      <c r="G17" s="481">
        <v>24958</v>
      </c>
      <c r="H17" s="481">
        <v>831.93333333333328</v>
      </c>
      <c r="I17" s="481">
        <v>8</v>
      </c>
      <c r="J17" s="483">
        <v>335</v>
      </c>
      <c r="K17" s="484">
        <v>1029.4000000000001</v>
      </c>
      <c r="L17" s="484">
        <v>420.2</v>
      </c>
      <c r="M17" s="484">
        <v>47.199999999999996</v>
      </c>
      <c r="N17" s="484">
        <v>65.5</v>
      </c>
      <c r="O17" s="486">
        <v>207</v>
      </c>
      <c r="P17" s="487">
        <v>10.15</v>
      </c>
      <c r="Q17" s="488">
        <v>67.717500000000001</v>
      </c>
      <c r="R17" s="483">
        <v>110</v>
      </c>
      <c r="S17" s="487">
        <v>10</v>
      </c>
      <c r="T17" s="483"/>
      <c r="U17" s="486">
        <v>187</v>
      </c>
      <c r="V17" s="484">
        <v>407</v>
      </c>
      <c r="W17" s="484">
        <v>6.2</v>
      </c>
      <c r="X17" s="484">
        <v>4.8</v>
      </c>
      <c r="Y17" s="484">
        <v>0</v>
      </c>
      <c r="Z17" s="493">
        <v>5.0000000000000001E-3</v>
      </c>
      <c r="AA17" s="486">
        <v>0</v>
      </c>
      <c r="AB17" s="484">
        <v>0</v>
      </c>
      <c r="AC17" s="484">
        <v>0</v>
      </c>
      <c r="AD17" s="484">
        <v>0</v>
      </c>
      <c r="AE17" s="450"/>
      <c r="AF17" s="463" t="e">
        <v>#DIV/0!</v>
      </c>
      <c r="AG17" s="464" t="e">
        <v>#DIV/0!</v>
      </c>
      <c r="AH17" s="495">
        <v>5</v>
      </c>
      <c r="AI17" s="485">
        <v>36</v>
      </c>
      <c r="AJ17" s="494">
        <v>10.425000000000001</v>
      </c>
      <c r="AK17" s="495">
        <v>18.933333333333334</v>
      </c>
      <c r="AL17" s="496">
        <v>23</v>
      </c>
      <c r="AM17" s="497">
        <v>6.2333333333333334</v>
      </c>
      <c r="AN17" s="495">
        <v>0.05</v>
      </c>
      <c r="AO17" s="485">
        <v>196</v>
      </c>
      <c r="AP17" s="485">
        <v>10</v>
      </c>
      <c r="AQ17" s="485">
        <v>1.41</v>
      </c>
      <c r="AR17" s="501"/>
      <c r="AS17" s="502">
        <v>0</v>
      </c>
      <c r="AT17" s="486">
        <v>1E-3</v>
      </c>
      <c r="AU17" s="484">
        <v>5</v>
      </c>
      <c r="AV17" s="486">
        <v>27.625</v>
      </c>
      <c r="AW17" s="487">
        <v>5.875</v>
      </c>
      <c r="AX17" s="495">
        <v>15.9</v>
      </c>
      <c r="AY17" s="485">
        <v>13.265000000000001</v>
      </c>
      <c r="AZ17" s="485">
        <v>10.305</v>
      </c>
      <c r="BA17" s="485">
        <v>0.38375000000000004</v>
      </c>
      <c r="BB17" s="485">
        <v>2.2549999999999999</v>
      </c>
      <c r="BC17" s="485">
        <v>133</v>
      </c>
      <c r="BD17" s="503">
        <v>208.25</v>
      </c>
      <c r="BE17" s="498">
        <v>5.75</v>
      </c>
      <c r="BF17" s="489">
        <v>0.20800000000000002</v>
      </c>
      <c r="BG17" s="489">
        <v>1.39</v>
      </c>
      <c r="BH17" s="489">
        <v>0.3</v>
      </c>
      <c r="BI17" s="501">
        <v>0</v>
      </c>
      <c r="BJ17" s="489">
        <v>0</v>
      </c>
      <c r="BK17" s="491">
        <v>0</v>
      </c>
      <c r="BL17" s="489">
        <v>0</v>
      </c>
      <c r="BM17" s="449"/>
      <c r="BN17" s="498">
        <v>1.7227272727272727</v>
      </c>
      <c r="BO17" s="498">
        <v>1.7272727272727275</v>
      </c>
      <c r="BP17" s="505">
        <v>1.500909090909091</v>
      </c>
      <c r="BQ17" s="502">
        <v>1.4777272727272726</v>
      </c>
      <c r="BR17" s="545"/>
      <c r="BS17" s="511"/>
      <c r="BT17" s="508"/>
      <c r="BU17" s="508"/>
      <c r="BV17" s="508"/>
      <c r="BW17" s="506">
        <v>1.8</v>
      </c>
      <c r="BX17" s="489">
        <v>1.8</v>
      </c>
      <c r="BY17" s="483">
        <v>3992</v>
      </c>
      <c r="BZ17" s="484">
        <v>3334</v>
      </c>
      <c r="CA17" s="487">
        <v>368.69565217391306</v>
      </c>
      <c r="CB17" s="491">
        <v>1.2833333333333334</v>
      </c>
      <c r="CC17" s="501">
        <v>1.0733333333333335</v>
      </c>
      <c r="CD17" s="502">
        <v>0</v>
      </c>
      <c r="CE17" s="455"/>
      <c r="CF17" s="539">
        <v>398</v>
      </c>
      <c r="CG17" s="491">
        <v>17.100000000000001</v>
      </c>
      <c r="CH17" s="509">
        <v>12.3</v>
      </c>
      <c r="CI17" s="491">
        <v>0</v>
      </c>
      <c r="CJ17" s="489">
        <v>11874</v>
      </c>
      <c r="CK17" s="489">
        <v>1555</v>
      </c>
      <c r="CL17" s="489">
        <v>0</v>
      </c>
      <c r="CM17" s="489">
        <v>11183</v>
      </c>
      <c r="CN17" s="501"/>
      <c r="CO17" s="462">
        <v>36.14</v>
      </c>
      <c r="CP17" s="516">
        <v>0</v>
      </c>
      <c r="CQ17" s="462" t="s">
        <v>239</v>
      </c>
      <c r="CR17" s="549">
        <v>49914</v>
      </c>
      <c r="CS17" s="454">
        <v>1440</v>
      </c>
      <c r="CT17" s="471"/>
      <c r="CU17" s="357"/>
    </row>
    <row r="18" spans="1:99" s="335" customFormat="1" ht="13.5" customHeight="1" thickBot="1" x14ac:dyDescent="0.25">
      <c r="A18" s="378" t="s">
        <v>231</v>
      </c>
      <c r="B18" s="347"/>
      <c r="C18" s="336"/>
      <c r="D18" s="481">
        <v>41979</v>
      </c>
      <c r="E18" s="481">
        <v>1354.1612903225807</v>
      </c>
      <c r="F18" s="481">
        <v>15718</v>
      </c>
      <c r="G18" s="481">
        <v>15718</v>
      </c>
      <c r="H18" s="481">
        <v>507.03225806451616</v>
      </c>
      <c r="I18" s="481">
        <v>4</v>
      </c>
      <c r="J18" s="483">
        <v>328.25</v>
      </c>
      <c r="K18" s="484">
        <v>787.5</v>
      </c>
      <c r="L18" s="484">
        <v>308.375</v>
      </c>
      <c r="M18" s="484">
        <v>37.35</v>
      </c>
      <c r="N18" s="484">
        <v>114.33333333333333</v>
      </c>
      <c r="O18" s="486">
        <v>191</v>
      </c>
      <c r="P18" s="487">
        <v>8.0333333333333332</v>
      </c>
      <c r="Q18" s="488">
        <v>60.6</v>
      </c>
      <c r="R18" s="483">
        <v>80</v>
      </c>
      <c r="S18" s="487">
        <v>10</v>
      </c>
      <c r="T18" s="483"/>
      <c r="U18" s="486">
        <v>75</v>
      </c>
      <c r="V18" s="484">
        <v>331</v>
      </c>
      <c r="W18" s="484">
        <v>14.2</v>
      </c>
      <c r="X18" s="484">
        <v>1.2</v>
      </c>
      <c r="Y18" s="484">
        <v>0</v>
      </c>
      <c r="Z18" s="493">
        <v>5.0000000000000001E-3</v>
      </c>
      <c r="AA18" s="486">
        <v>0</v>
      </c>
      <c r="AB18" s="484">
        <v>0</v>
      </c>
      <c r="AC18" s="484">
        <v>0</v>
      </c>
      <c r="AD18" s="484">
        <v>0</v>
      </c>
      <c r="AE18" s="450"/>
      <c r="AF18" s="458" t="e">
        <v>#DIV/0!</v>
      </c>
      <c r="AG18" s="457" t="e">
        <v>#DIV/0!</v>
      </c>
      <c r="AH18" s="495">
        <v>4.5</v>
      </c>
      <c r="AI18" s="485">
        <v>27.333333333333332</v>
      </c>
      <c r="AJ18" s="494">
        <v>10.5</v>
      </c>
      <c r="AK18" s="495">
        <v>19.55</v>
      </c>
      <c r="AL18" s="496">
        <v>24.95</v>
      </c>
      <c r="AM18" s="497">
        <v>1.2259999999999998</v>
      </c>
      <c r="AN18" s="495">
        <v>0.17</v>
      </c>
      <c r="AO18" s="485">
        <v>204</v>
      </c>
      <c r="AP18" s="485">
        <v>10</v>
      </c>
      <c r="AQ18" s="485">
        <v>1.59</v>
      </c>
      <c r="AR18" s="501"/>
      <c r="AS18" s="504">
        <v>0</v>
      </c>
      <c r="AT18" s="486">
        <v>1E-3</v>
      </c>
      <c r="AU18" s="484">
        <v>5</v>
      </c>
      <c r="AV18" s="486">
        <v>25.888888888888889</v>
      </c>
      <c r="AW18" s="487">
        <v>7.666666666666667</v>
      </c>
      <c r="AX18" s="495">
        <v>17.75</v>
      </c>
      <c r="AY18" s="485">
        <v>16.844999999999999</v>
      </c>
      <c r="AZ18" s="485">
        <v>11.48</v>
      </c>
      <c r="BA18" s="485">
        <v>0.08</v>
      </c>
      <c r="BB18" s="485">
        <v>0.98750000000000004</v>
      </c>
      <c r="BC18" s="485">
        <v>137</v>
      </c>
      <c r="BD18" s="503">
        <v>202.75</v>
      </c>
      <c r="BE18" s="498">
        <v>5.2649999999999997</v>
      </c>
      <c r="BF18" s="489">
        <v>0.2</v>
      </c>
      <c r="BG18" s="489">
        <v>1.3525</v>
      </c>
      <c r="BH18" s="489">
        <v>0.3</v>
      </c>
      <c r="BI18" s="501">
        <v>0</v>
      </c>
      <c r="BJ18" s="489">
        <v>0</v>
      </c>
      <c r="BK18" s="491">
        <v>0</v>
      </c>
      <c r="BL18" s="489">
        <v>0</v>
      </c>
      <c r="BM18" s="449"/>
      <c r="BN18" s="498">
        <v>1.6819999999999997</v>
      </c>
      <c r="BO18" s="498">
        <v>1.6774999999999998</v>
      </c>
      <c r="BP18" s="505">
        <v>1.5154999999999998</v>
      </c>
      <c r="BQ18" s="504">
        <v>1.4840000000000002</v>
      </c>
      <c r="BR18" s="545"/>
      <c r="BS18" s="511"/>
      <c r="BT18" s="510"/>
      <c r="BU18" s="510"/>
      <c r="BV18" s="510"/>
      <c r="BW18" s="505">
        <v>1.8</v>
      </c>
      <c r="BX18" s="505">
        <v>1.8</v>
      </c>
      <c r="BY18" s="483">
        <v>4620</v>
      </c>
      <c r="BZ18" s="484">
        <v>3921</v>
      </c>
      <c r="CA18" s="487">
        <v>370</v>
      </c>
      <c r="CB18" s="491">
        <v>1.6216666666666668</v>
      </c>
      <c r="CC18" s="501">
        <v>1.1966666666666665</v>
      </c>
      <c r="CD18" s="504">
        <v>0</v>
      </c>
      <c r="CE18" s="542"/>
      <c r="CF18" s="539">
        <v>324</v>
      </c>
      <c r="CG18" s="491">
        <v>18.5</v>
      </c>
      <c r="CH18" s="509">
        <v>12.5</v>
      </c>
      <c r="CI18" s="491">
        <v>0</v>
      </c>
      <c r="CJ18" s="489">
        <v>9312</v>
      </c>
      <c r="CK18" s="489">
        <v>1592</v>
      </c>
      <c r="CL18" s="489">
        <v>0</v>
      </c>
      <c r="CM18" s="489">
        <v>12605</v>
      </c>
      <c r="CN18" s="520"/>
      <c r="CO18" s="516">
        <v>57.14</v>
      </c>
      <c r="CP18" s="516">
        <v>0</v>
      </c>
      <c r="CQ18" s="516">
        <v>2.12</v>
      </c>
      <c r="CR18" s="548">
        <v>42648</v>
      </c>
      <c r="CS18" s="454">
        <v>1440</v>
      </c>
      <c r="CT18" s="471"/>
    </row>
    <row r="19" spans="1:99" ht="12.75" x14ac:dyDescent="0.2">
      <c r="A19" s="367"/>
      <c r="B19" s="53"/>
      <c r="C19" s="53"/>
      <c r="D19" s="232">
        <f>SUM(D7:D18)</f>
        <v>470731</v>
      </c>
      <c r="E19" s="353"/>
      <c r="F19" s="356">
        <f>SUM(F7:F18)</f>
        <v>326958</v>
      </c>
      <c r="G19" s="232">
        <f>SUM(G7:G18)</f>
        <v>326958</v>
      </c>
      <c r="H19" s="353"/>
      <c r="I19" s="232">
        <f>SUM(I7:I18)</f>
        <v>76</v>
      </c>
      <c r="J19" s="41"/>
      <c r="K19" s="42"/>
      <c r="L19" s="42"/>
      <c r="M19" s="42"/>
      <c r="N19" s="42"/>
      <c r="O19" s="43"/>
      <c r="P19" s="44"/>
      <c r="Q19" s="372"/>
      <c r="R19" s="41"/>
      <c r="S19" s="44"/>
      <c r="T19" s="41"/>
      <c r="U19" s="43"/>
      <c r="V19" s="42"/>
      <c r="W19" s="42"/>
      <c r="X19" s="42"/>
      <c r="Y19" s="42"/>
      <c r="Z19" s="46"/>
      <c r="AA19" s="43"/>
      <c r="AB19" s="42"/>
      <c r="AC19" s="42"/>
      <c r="AD19" s="42"/>
      <c r="AE19" s="43"/>
      <c r="AF19" s="41"/>
      <c r="AG19" s="46"/>
      <c r="AH19" s="41"/>
      <c r="AI19" s="42"/>
      <c r="AJ19" s="46"/>
      <c r="AK19" s="41"/>
      <c r="AL19" s="43"/>
      <c r="AM19" s="44"/>
      <c r="AN19" s="41"/>
      <c r="AO19" s="42"/>
      <c r="AP19" s="42"/>
      <c r="AQ19" s="42"/>
      <c r="AR19" s="44"/>
      <c r="AS19" s="46"/>
      <c r="AT19" s="43"/>
      <c r="AU19" s="42"/>
      <c r="AV19" s="43"/>
      <c r="AW19" s="44"/>
      <c r="AX19" s="41"/>
      <c r="AY19" s="42"/>
      <c r="AZ19" s="42"/>
      <c r="BA19" s="42"/>
      <c r="BB19" s="42"/>
      <c r="BC19" s="42"/>
      <c r="BD19" s="45"/>
      <c r="BE19" s="41"/>
      <c r="BF19" s="42"/>
      <c r="BG19" s="42"/>
      <c r="BH19" s="42"/>
      <c r="BI19" s="45"/>
      <c r="BJ19" s="42"/>
      <c r="BK19" s="43"/>
      <c r="BL19" s="42"/>
      <c r="BM19" s="44"/>
      <c r="BN19" s="41"/>
      <c r="BO19" s="41"/>
      <c r="BP19" s="533"/>
      <c r="BQ19" s="80"/>
      <c r="BR19" s="359"/>
      <c r="BS19" s="360"/>
      <c r="BT19" s="41"/>
      <c r="BU19" s="42"/>
      <c r="BV19" s="44"/>
      <c r="BW19" s="41"/>
      <c r="BX19" s="44"/>
      <c r="BY19" s="41"/>
      <c r="BZ19" s="42"/>
      <c r="CA19" s="44"/>
      <c r="CB19" s="43"/>
      <c r="CC19" s="44"/>
      <c r="CD19" s="337"/>
      <c r="CE19" s="80"/>
      <c r="CF19" s="232">
        <f>SUM(CF7:CF18)</f>
        <v>2513</v>
      </c>
      <c r="CG19" s="41"/>
      <c r="CH19" s="44"/>
      <c r="CI19" s="43"/>
      <c r="CJ19" s="42"/>
      <c r="CK19" s="42"/>
      <c r="CL19" s="42"/>
      <c r="CM19" s="42"/>
      <c r="CN19" s="45"/>
      <c r="CO19" s="47">
        <f>SUM(CO7:CO18)</f>
        <v>240.59999999999997</v>
      </c>
      <c r="CP19" s="47">
        <f>SUM(CP7:CP18)</f>
        <v>0</v>
      </c>
      <c r="CQ19" s="47">
        <f>SUM(CQ7:CQ18)</f>
        <v>23.62</v>
      </c>
      <c r="CR19" s="377">
        <f>SUM(CR7:CR18)</f>
        <v>594624</v>
      </c>
      <c r="CS19" s="364"/>
      <c r="CT19" s="211"/>
    </row>
    <row r="20" spans="1:99" x14ac:dyDescent="0.2">
      <c r="A20" s="362" t="s">
        <v>3</v>
      </c>
      <c r="B20" s="54"/>
      <c r="C20" s="54"/>
      <c r="D20" s="374">
        <f>AVERAGE(D7:D18)</f>
        <v>39227.583333333336</v>
      </c>
      <c r="E20" s="374">
        <f>AVERAGE(E7:E18)</f>
        <v>1290.1192268305174</v>
      </c>
      <c r="F20" s="301">
        <f>AVERAGE(F7:F18)</f>
        <v>27246.5</v>
      </c>
      <c r="G20" s="374">
        <f>AVERAGE(G7:G18)</f>
        <v>27246.5</v>
      </c>
      <c r="H20" s="374">
        <f>AVERAGE(H7:H18)</f>
        <v>889.17338069636446</v>
      </c>
      <c r="I20" s="56"/>
      <c r="J20" s="29">
        <f t="shared" ref="J20:S20" si="0">AVERAGE(J7:J18)</f>
        <v>348.56904761904758</v>
      </c>
      <c r="K20" s="70">
        <f t="shared" si="0"/>
        <v>841.92579365079348</v>
      </c>
      <c r="L20" s="70">
        <f t="shared" si="0"/>
        <v>355.41071428571428</v>
      </c>
      <c r="M20" s="69">
        <f t="shared" si="0"/>
        <v>41.336130952380948</v>
      </c>
      <c r="N20" s="70">
        <f t="shared" si="0"/>
        <v>91.027777777777771</v>
      </c>
      <c r="O20" s="31">
        <f t="shared" si="0"/>
        <v>201.58333333333334</v>
      </c>
      <c r="P20" s="73">
        <f t="shared" si="0"/>
        <v>6.781923611111111</v>
      </c>
      <c r="Q20" s="74">
        <f t="shared" si="0"/>
        <v>64.074583333333337</v>
      </c>
      <c r="R20" s="29">
        <f t="shared" si="0"/>
        <v>69.5</v>
      </c>
      <c r="S20" s="73">
        <f t="shared" si="0"/>
        <v>10</v>
      </c>
      <c r="T20" s="29"/>
      <c r="U20" s="31">
        <f t="shared" ref="U20:AD20" si="1">AVERAGE(U7:U18)</f>
        <v>103.91666666666667</v>
      </c>
      <c r="V20" s="70">
        <f t="shared" si="1"/>
        <v>215.41666666666666</v>
      </c>
      <c r="W20" s="32">
        <f t="shared" si="1"/>
        <v>7.6516666666666682</v>
      </c>
      <c r="X20" s="32">
        <f t="shared" si="1"/>
        <v>2.9416666666666664</v>
      </c>
      <c r="Y20" s="32">
        <f t="shared" si="1"/>
        <v>0</v>
      </c>
      <c r="Z20" s="52">
        <f t="shared" si="1"/>
        <v>3.7499999999999999E-3</v>
      </c>
      <c r="AA20" s="49">
        <f t="shared" si="1"/>
        <v>0</v>
      </c>
      <c r="AB20" s="32">
        <f t="shared" si="1"/>
        <v>0</v>
      </c>
      <c r="AC20" s="32">
        <f t="shared" si="1"/>
        <v>0</v>
      </c>
      <c r="AD20" s="32">
        <f t="shared" si="1"/>
        <v>0</v>
      </c>
      <c r="AE20" s="49"/>
      <c r="AF20" s="29" t="e">
        <f t="shared" ref="AF20:AQ20" si="2">AVERAGE(AF7:AF18)</f>
        <v>#DIV/0!</v>
      </c>
      <c r="AG20" s="76" t="e">
        <f t="shared" si="2"/>
        <v>#DIV/0!</v>
      </c>
      <c r="AH20" s="29">
        <f t="shared" si="2"/>
        <v>5.7536111111111117</v>
      </c>
      <c r="AI20" s="70">
        <f t="shared" si="2"/>
        <v>26.983333333333334</v>
      </c>
      <c r="AJ20" s="76">
        <f t="shared" si="2"/>
        <v>14.225694444444443</v>
      </c>
      <c r="AK20" s="68">
        <f t="shared" si="2"/>
        <v>15.722444444444447</v>
      </c>
      <c r="AL20" s="71">
        <f t="shared" si="2"/>
        <v>23.802222222222216</v>
      </c>
      <c r="AM20" s="72">
        <f t="shared" si="2"/>
        <v>4.1984166666666667</v>
      </c>
      <c r="AN20" s="48">
        <f t="shared" si="2"/>
        <v>0.12416666666666669</v>
      </c>
      <c r="AO20" s="32">
        <f t="shared" si="2"/>
        <v>187.58333333333334</v>
      </c>
      <c r="AP20" s="32">
        <f t="shared" si="2"/>
        <v>9.1666666666666661</v>
      </c>
      <c r="AQ20" s="32">
        <f t="shared" si="2"/>
        <v>1.3690555555555557</v>
      </c>
      <c r="AR20" s="33"/>
      <c r="AS20" s="52">
        <f t="shared" ref="AS20:BL20" si="3">AVERAGE(AS7:AS18)</f>
        <v>0</v>
      </c>
      <c r="AT20" s="31">
        <f t="shared" si="3"/>
        <v>0.81771031746031742</v>
      </c>
      <c r="AU20" s="70">
        <f t="shared" si="3"/>
        <v>5.1468253968253963</v>
      </c>
      <c r="AV20" s="31">
        <f t="shared" si="3"/>
        <v>34.644841269841272</v>
      </c>
      <c r="AW20" s="72">
        <f t="shared" si="3"/>
        <v>7.7123015873015879</v>
      </c>
      <c r="AX20" s="68">
        <f t="shared" si="3"/>
        <v>18.985000000000003</v>
      </c>
      <c r="AY20" s="69">
        <f t="shared" si="3"/>
        <v>16.402347222222222</v>
      </c>
      <c r="AZ20" s="69">
        <f t="shared" si="3"/>
        <v>12.229402777777777</v>
      </c>
      <c r="BA20" s="32">
        <f t="shared" si="3"/>
        <v>0.39900694444444446</v>
      </c>
      <c r="BB20" s="32">
        <f t="shared" si="3"/>
        <v>2.1163430555555558</v>
      </c>
      <c r="BC20" s="70">
        <f t="shared" si="3"/>
        <v>134.38083333333336</v>
      </c>
      <c r="BD20" s="77">
        <f t="shared" si="3"/>
        <v>217.31534722222224</v>
      </c>
      <c r="BE20" s="68">
        <f t="shared" si="3"/>
        <v>4.759236111111111</v>
      </c>
      <c r="BF20" s="32">
        <f t="shared" si="3"/>
        <v>0.21248611111111115</v>
      </c>
      <c r="BG20" s="32">
        <f t="shared" si="3"/>
        <v>1.4238888888888888</v>
      </c>
      <c r="BH20" s="32">
        <f t="shared" si="3"/>
        <v>0.27499999999999997</v>
      </c>
      <c r="BI20" s="51">
        <f t="shared" si="3"/>
        <v>0</v>
      </c>
      <c r="BJ20" s="32">
        <f t="shared" si="3"/>
        <v>0</v>
      </c>
      <c r="BK20" s="49">
        <f t="shared" si="3"/>
        <v>0</v>
      </c>
      <c r="BL20" s="32">
        <f t="shared" si="3"/>
        <v>0</v>
      </c>
      <c r="BM20" s="32"/>
      <c r="BN20" s="48">
        <f t="shared" ref="BN20:CD20" si="4">AVERAGE(BN7:BN18)</f>
        <v>1.6256363619853322</v>
      </c>
      <c r="BO20" s="48">
        <f t="shared" si="4"/>
        <v>1.6305444936451801</v>
      </c>
      <c r="BP20" s="534">
        <f t="shared" si="4"/>
        <v>1.5200685753827914</v>
      </c>
      <c r="BQ20" s="81">
        <f t="shared" si="4"/>
        <v>1.4965506571517728</v>
      </c>
      <c r="BR20" s="81" t="e">
        <f t="shared" si="4"/>
        <v>#DIV/0!</v>
      </c>
      <c r="BS20" s="33" t="e">
        <f t="shared" si="4"/>
        <v>#DIV/0!</v>
      </c>
      <c r="BT20" s="29" t="e">
        <f t="shared" si="4"/>
        <v>#DIV/0!</v>
      </c>
      <c r="BU20" s="70" t="e">
        <f t="shared" si="4"/>
        <v>#DIV/0!</v>
      </c>
      <c r="BV20" s="73" t="e">
        <f t="shared" si="4"/>
        <v>#DIV/0!</v>
      </c>
      <c r="BW20" s="50">
        <f t="shared" si="4"/>
        <v>1.8000000000000005</v>
      </c>
      <c r="BX20" s="32">
        <f t="shared" si="4"/>
        <v>1.8000000000000005</v>
      </c>
      <c r="BY20" s="29">
        <f t="shared" si="4"/>
        <v>3572.9725529100529</v>
      </c>
      <c r="BZ20" s="70">
        <f t="shared" si="4"/>
        <v>2780.0490740740738</v>
      </c>
      <c r="CA20" s="73">
        <f t="shared" si="4"/>
        <v>369.70882740447951</v>
      </c>
      <c r="CB20" s="49">
        <f t="shared" si="4"/>
        <v>1.6699527777777776</v>
      </c>
      <c r="CC20" s="33">
        <f t="shared" si="4"/>
        <v>1.2545416666666667</v>
      </c>
      <c r="CD20" s="338">
        <f t="shared" si="4"/>
        <v>0</v>
      </c>
      <c r="CE20" s="475"/>
      <c r="CF20" s="338">
        <f>AVERAGE(CF7:CF18)</f>
        <v>209.41666666666666</v>
      </c>
      <c r="CG20" s="48">
        <f t="shared" ref="CG20:CM20" si="5">AVERAGE(CG7:CG18)</f>
        <v>10.745833333333332</v>
      </c>
      <c r="CH20" s="33">
        <f t="shared" si="5"/>
        <v>11.898125</v>
      </c>
      <c r="CI20" s="49">
        <f t="shared" si="5"/>
        <v>0</v>
      </c>
      <c r="CJ20" s="32">
        <f t="shared" si="5"/>
        <v>8716.875</v>
      </c>
      <c r="CK20" s="32">
        <f t="shared" si="5"/>
        <v>1144.1666666666667</v>
      </c>
      <c r="CL20" s="32">
        <f t="shared" si="5"/>
        <v>0</v>
      </c>
      <c r="CM20" s="32">
        <f t="shared" si="5"/>
        <v>6798.75</v>
      </c>
      <c r="CN20" s="51"/>
      <c r="CO20" s="34">
        <f>AVERAGE(CO7:CO18)</f>
        <v>20.049999999999997</v>
      </c>
      <c r="CP20" s="34">
        <f>AVERAGE(CP7:CP18)</f>
        <v>0</v>
      </c>
      <c r="CQ20" s="34">
        <f>AVERAGE(CQ7:CQ18)</f>
        <v>2.1472727272727274</v>
      </c>
      <c r="CR20" s="67">
        <f>AVERAGE(CR7:CR18)</f>
        <v>49552</v>
      </c>
      <c r="CS20" s="339"/>
      <c r="CT20" s="34"/>
    </row>
    <row r="21" spans="1:99" ht="12" thickBot="1" x14ac:dyDescent="0.25">
      <c r="A21" s="362" t="s">
        <v>17</v>
      </c>
      <c r="B21" s="54"/>
      <c r="C21" s="54"/>
      <c r="D21" s="375">
        <f>MAX(D7:D18)</f>
        <v>41979</v>
      </c>
      <c r="E21" s="375">
        <f>MAX(E7:E18)</f>
        <v>1362.7666666666667</v>
      </c>
      <c r="F21" s="74">
        <f>MAX(F7:F18)</f>
        <v>41801</v>
      </c>
      <c r="G21" s="375">
        <f>MAX(G7:G18)</f>
        <v>41801</v>
      </c>
      <c r="H21" s="375">
        <f>MAX(H7:H18)</f>
        <v>1348.4193548387098</v>
      </c>
      <c r="I21" s="30"/>
      <c r="J21" s="29">
        <f t="shared" ref="J21:S21" si="6">MAX(J7:J18)</f>
        <v>422.66666666666669</v>
      </c>
      <c r="K21" s="70">
        <f t="shared" si="6"/>
        <v>1040</v>
      </c>
      <c r="L21" s="70">
        <f t="shared" si="6"/>
        <v>452.875</v>
      </c>
      <c r="M21" s="69">
        <f t="shared" si="6"/>
        <v>48.1</v>
      </c>
      <c r="N21" s="70">
        <f t="shared" si="6"/>
        <v>151.5</v>
      </c>
      <c r="O21" s="31">
        <f t="shared" si="6"/>
        <v>387</v>
      </c>
      <c r="P21" s="73">
        <f t="shared" si="6"/>
        <v>10.15</v>
      </c>
      <c r="Q21" s="74">
        <f t="shared" si="6"/>
        <v>69.2</v>
      </c>
      <c r="R21" s="29">
        <f t="shared" si="6"/>
        <v>110</v>
      </c>
      <c r="S21" s="73">
        <f t="shared" si="6"/>
        <v>10</v>
      </c>
      <c r="T21" s="29"/>
      <c r="U21" s="31">
        <f t="shared" ref="U21:AD21" si="7">MAX(U7:U18)</f>
        <v>187</v>
      </c>
      <c r="V21" s="70">
        <f t="shared" si="7"/>
        <v>407</v>
      </c>
      <c r="W21" s="32">
        <f t="shared" si="7"/>
        <v>15</v>
      </c>
      <c r="X21" s="32">
        <f t="shared" si="7"/>
        <v>8.5</v>
      </c>
      <c r="Y21" s="32">
        <f t="shared" si="7"/>
        <v>0</v>
      </c>
      <c r="Z21" s="52">
        <f t="shared" si="7"/>
        <v>5.0000000000000001E-3</v>
      </c>
      <c r="AA21" s="49">
        <f t="shared" si="7"/>
        <v>0</v>
      </c>
      <c r="AB21" s="32">
        <f t="shared" si="7"/>
        <v>0</v>
      </c>
      <c r="AC21" s="32">
        <f t="shared" si="7"/>
        <v>0</v>
      </c>
      <c r="AD21" s="32">
        <f t="shared" si="7"/>
        <v>0</v>
      </c>
      <c r="AE21" s="49"/>
      <c r="AF21" s="29" t="e">
        <f t="shared" ref="AF21:AQ21" si="8">MAX(AF7:AF18)</f>
        <v>#DIV/0!</v>
      </c>
      <c r="AG21" s="76" t="e">
        <f t="shared" si="8"/>
        <v>#DIV/0!</v>
      </c>
      <c r="AH21" s="29">
        <f t="shared" si="8"/>
        <v>8</v>
      </c>
      <c r="AI21" s="70">
        <f t="shared" si="8"/>
        <v>36</v>
      </c>
      <c r="AJ21" s="76">
        <f t="shared" si="8"/>
        <v>18.333333333333332</v>
      </c>
      <c r="AK21" s="68">
        <f t="shared" si="8"/>
        <v>22.68</v>
      </c>
      <c r="AL21" s="71">
        <f t="shared" si="8"/>
        <v>38</v>
      </c>
      <c r="AM21" s="72">
        <f t="shared" si="8"/>
        <v>10.8</v>
      </c>
      <c r="AN21" s="48">
        <f t="shared" si="8"/>
        <v>0.49</v>
      </c>
      <c r="AO21" s="32">
        <f t="shared" si="8"/>
        <v>235</v>
      </c>
      <c r="AP21" s="32">
        <f t="shared" si="8"/>
        <v>10</v>
      </c>
      <c r="AQ21" s="32">
        <f t="shared" si="8"/>
        <v>1.59</v>
      </c>
      <c r="AR21" s="33"/>
      <c r="AS21" s="52">
        <f t="shared" ref="AS21:BL21" si="9">MAX(AS7:AS18)</f>
        <v>0</v>
      </c>
      <c r="AT21" s="31">
        <f t="shared" si="9"/>
        <v>1.6666666666666667</v>
      </c>
      <c r="AU21" s="70">
        <f t="shared" si="9"/>
        <v>6.5</v>
      </c>
      <c r="AV21" s="31">
        <f t="shared" si="9"/>
        <v>47.25</v>
      </c>
      <c r="AW21" s="72">
        <f t="shared" si="9"/>
        <v>13.875</v>
      </c>
      <c r="AX21" s="68">
        <f t="shared" si="9"/>
        <v>28.5</v>
      </c>
      <c r="AY21" s="69">
        <f t="shared" si="9"/>
        <v>25.305</v>
      </c>
      <c r="AZ21" s="69">
        <f t="shared" si="9"/>
        <v>22.66</v>
      </c>
      <c r="BA21" s="32">
        <f t="shared" si="9"/>
        <v>1.1052500000000001</v>
      </c>
      <c r="BB21" s="32">
        <f t="shared" si="9"/>
        <v>5.4317500000000001</v>
      </c>
      <c r="BC21" s="70">
        <f t="shared" si="9"/>
        <v>145.25</v>
      </c>
      <c r="BD21" s="77">
        <f t="shared" si="9"/>
        <v>246.4</v>
      </c>
      <c r="BE21" s="68">
        <f t="shared" si="9"/>
        <v>8.5500000000000007</v>
      </c>
      <c r="BF21" s="32">
        <f t="shared" si="9"/>
        <v>0.28266666666666668</v>
      </c>
      <c r="BG21" s="32">
        <f t="shared" si="9"/>
        <v>1.5525</v>
      </c>
      <c r="BH21" s="32">
        <f t="shared" si="9"/>
        <v>0.3</v>
      </c>
      <c r="BI21" s="51">
        <f t="shared" si="9"/>
        <v>0</v>
      </c>
      <c r="BJ21" s="32">
        <f t="shared" si="9"/>
        <v>0</v>
      </c>
      <c r="BK21" s="49">
        <f t="shared" si="9"/>
        <v>0</v>
      </c>
      <c r="BL21" s="32">
        <f t="shared" si="9"/>
        <v>0</v>
      </c>
      <c r="BM21" s="32"/>
      <c r="BN21" s="48">
        <f t="shared" ref="BN21:CD21" si="10">MAX(BN7:BN18)</f>
        <v>1.7931578947368421</v>
      </c>
      <c r="BO21" s="48">
        <f t="shared" si="10"/>
        <v>1.7978947368421054</v>
      </c>
      <c r="BP21" s="534">
        <f t="shared" si="10"/>
        <v>1.5861904761904759</v>
      </c>
      <c r="BQ21" s="81">
        <f t="shared" si="10"/>
        <v>1.5652380952380949</v>
      </c>
      <c r="BR21" s="81">
        <f t="shared" si="10"/>
        <v>0</v>
      </c>
      <c r="BS21" s="33">
        <f t="shared" si="10"/>
        <v>0</v>
      </c>
      <c r="BT21" s="29">
        <f t="shared" si="10"/>
        <v>0</v>
      </c>
      <c r="BU21" s="70">
        <f t="shared" si="10"/>
        <v>0</v>
      </c>
      <c r="BV21" s="73">
        <f t="shared" si="10"/>
        <v>0</v>
      </c>
      <c r="BW21" s="50">
        <f t="shared" si="10"/>
        <v>1.8</v>
      </c>
      <c r="BX21" s="32">
        <f t="shared" si="10"/>
        <v>1.8</v>
      </c>
      <c r="BY21" s="29">
        <f t="shared" si="10"/>
        <v>4620</v>
      </c>
      <c r="BZ21" s="70">
        <f t="shared" si="10"/>
        <v>3921</v>
      </c>
      <c r="CA21" s="73">
        <f t="shared" si="10"/>
        <v>390</v>
      </c>
      <c r="CB21" s="49">
        <f t="shared" si="10"/>
        <v>2.5825</v>
      </c>
      <c r="CC21" s="33">
        <f t="shared" si="10"/>
        <v>1.8975</v>
      </c>
      <c r="CD21" s="340">
        <f t="shared" si="10"/>
        <v>0</v>
      </c>
      <c r="CE21" s="340"/>
      <c r="CF21" s="340">
        <f>MAX(CF7:CF18)</f>
        <v>634</v>
      </c>
      <c r="CG21" s="48">
        <f t="shared" ref="CG21:CM21" si="11">MAX(CG7:CG18)</f>
        <v>20.399999999999999</v>
      </c>
      <c r="CH21" s="33">
        <f t="shared" si="11"/>
        <v>67.16</v>
      </c>
      <c r="CI21" s="49">
        <f t="shared" si="11"/>
        <v>0</v>
      </c>
      <c r="CJ21" s="32">
        <f t="shared" si="11"/>
        <v>21515.5</v>
      </c>
      <c r="CK21" s="32">
        <f t="shared" si="11"/>
        <v>2934</v>
      </c>
      <c r="CL21" s="32">
        <f t="shared" si="11"/>
        <v>0</v>
      </c>
      <c r="CM21" s="32">
        <f t="shared" si="11"/>
        <v>12952</v>
      </c>
      <c r="CN21" s="51"/>
      <c r="CO21" s="34">
        <f>MAX(CO7:CO18)</f>
        <v>57.14</v>
      </c>
      <c r="CP21" s="34">
        <f>MAX(CP7:CP18)</f>
        <v>0</v>
      </c>
      <c r="CQ21" s="34">
        <f>MAX(CQ7:CQ18)</f>
        <v>3.1</v>
      </c>
      <c r="CR21" s="67">
        <f>MAX(CR7:CR18)</f>
        <v>74034</v>
      </c>
      <c r="CS21" s="339"/>
      <c r="CT21" s="34"/>
    </row>
    <row r="22" spans="1:99" ht="12" thickBot="1" x14ac:dyDescent="0.25">
      <c r="A22" s="363" t="s">
        <v>18</v>
      </c>
      <c r="B22" s="55"/>
      <c r="C22" s="55"/>
      <c r="D22" s="376">
        <f>MIN(D7:D18)</f>
        <v>35596</v>
      </c>
      <c r="E22" s="376">
        <f>MIN(E7:E18)</f>
        <v>1186.5333333333333</v>
      </c>
      <c r="F22" s="75">
        <f>MIN(F7:F18)</f>
        <v>8017</v>
      </c>
      <c r="G22" s="376">
        <f>MIN(G7:G18)</f>
        <v>8017</v>
      </c>
      <c r="H22" s="376">
        <f>MIN(H7:H18)</f>
        <v>286.32142857142856</v>
      </c>
      <c r="I22" s="36"/>
      <c r="J22" s="35">
        <f t="shared" ref="J22:AO22" si="12">MIN(J7:J18)</f>
        <v>234.66666666666666</v>
      </c>
      <c r="K22" s="35">
        <f t="shared" si="12"/>
        <v>640</v>
      </c>
      <c r="L22" s="35">
        <f t="shared" si="12"/>
        <v>243</v>
      </c>
      <c r="M22" s="35">
        <f t="shared" si="12"/>
        <v>36.328571428571429</v>
      </c>
      <c r="N22" s="35">
        <f t="shared" si="12"/>
        <v>64</v>
      </c>
      <c r="O22" s="35">
        <f t="shared" si="12"/>
        <v>143</v>
      </c>
      <c r="P22" s="35">
        <f t="shared" si="12"/>
        <v>5</v>
      </c>
      <c r="Q22" s="35">
        <f t="shared" si="12"/>
        <v>56</v>
      </c>
      <c r="R22" s="35">
        <f t="shared" si="12"/>
        <v>0</v>
      </c>
      <c r="S22" s="35">
        <f t="shared" si="12"/>
        <v>10</v>
      </c>
      <c r="T22" s="35">
        <f t="shared" si="12"/>
        <v>290.75</v>
      </c>
      <c r="U22" s="35">
        <f t="shared" si="12"/>
        <v>0</v>
      </c>
      <c r="V22" s="35">
        <f t="shared" si="12"/>
        <v>0</v>
      </c>
      <c r="W22" s="35">
        <f t="shared" si="12"/>
        <v>0</v>
      </c>
      <c r="X22" s="35">
        <f t="shared" si="12"/>
        <v>0</v>
      </c>
      <c r="Y22" s="35">
        <f t="shared" si="12"/>
        <v>0</v>
      </c>
      <c r="Z22" s="35">
        <f t="shared" si="12"/>
        <v>0</v>
      </c>
      <c r="AA22" s="35">
        <f t="shared" si="12"/>
        <v>0</v>
      </c>
      <c r="AB22" s="35">
        <f t="shared" si="12"/>
        <v>0</v>
      </c>
      <c r="AC22" s="35">
        <f t="shared" si="12"/>
        <v>0</v>
      </c>
      <c r="AD22" s="35">
        <f t="shared" si="12"/>
        <v>0</v>
      </c>
      <c r="AE22" s="35">
        <f t="shared" si="12"/>
        <v>0</v>
      </c>
      <c r="AF22" s="35" t="e">
        <f t="shared" si="12"/>
        <v>#DIV/0!</v>
      </c>
      <c r="AG22" s="35" t="e">
        <f t="shared" si="12"/>
        <v>#DIV/0!</v>
      </c>
      <c r="AH22" s="35">
        <f t="shared" si="12"/>
        <v>3.5</v>
      </c>
      <c r="AI22" s="35">
        <f t="shared" si="12"/>
        <v>18.666666666666668</v>
      </c>
      <c r="AJ22" s="35">
        <f t="shared" si="12"/>
        <v>9.75</v>
      </c>
      <c r="AK22" s="35">
        <f t="shared" si="12"/>
        <v>3.9799999999999995</v>
      </c>
      <c r="AL22" s="35">
        <f t="shared" si="12"/>
        <v>17.166666666666668</v>
      </c>
      <c r="AM22" s="35">
        <f t="shared" si="12"/>
        <v>1.2259999999999998</v>
      </c>
      <c r="AN22" s="35">
        <f t="shared" si="12"/>
        <v>0</v>
      </c>
      <c r="AO22" s="35">
        <f t="shared" si="12"/>
        <v>0</v>
      </c>
      <c r="AP22" s="35">
        <f t="shared" ref="AP22:BU22" si="13">MIN(AP7:AP18)</f>
        <v>0</v>
      </c>
      <c r="AQ22" s="35">
        <f t="shared" si="13"/>
        <v>0.9</v>
      </c>
      <c r="AR22" s="35">
        <f t="shared" si="13"/>
        <v>0</v>
      </c>
      <c r="AS22" s="35">
        <f t="shared" si="13"/>
        <v>0</v>
      </c>
      <c r="AT22" s="35">
        <f t="shared" si="13"/>
        <v>1E-3</v>
      </c>
      <c r="AU22" s="35">
        <f t="shared" si="13"/>
        <v>4.4285714285714288</v>
      </c>
      <c r="AV22" s="35">
        <f t="shared" si="13"/>
        <v>22.428571428571427</v>
      </c>
      <c r="AW22" s="35">
        <f t="shared" si="13"/>
        <v>5</v>
      </c>
      <c r="AX22" s="35">
        <f t="shared" si="13"/>
        <v>12.799999999999999</v>
      </c>
      <c r="AY22" s="35">
        <f t="shared" si="13"/>
        <v>8.6466666666666665</v>
      </c>
      <c r="AZ22" s="35">
        <f t="shared" si="13"/>
        <v>6</v>
      </c>
      <c r="BA22" s="35">
        <f t="shared" si="13"/>
        <v>0.08</v>
      </c>
      <c r="BB22" s="35">
        <f t="shared" si="13"/>
        <v>0</v>
      </c>
      <c r="BC22" s="35">
        <f t="shared" si="13"/>
        <v>117</v>
      </c>
      <c r="BD22" s="35">
        <f t="shared" si="13"/>
        <v>195.2</v>
      </c>
      <c r="BE22" s="35">
        <f t="shared" si="13"/>
        <v>1.8399999999999999</v>
      </c>
      <c r="BF22" s="35">
        <f t="shared" si="13"/>
        <v>0.2</v>
      </c>
      <c r="BG22" s="35">
        <f t="shared" si="13"/>
        <v>1.2933333333333332</v>
      </c>
      <c r="BH22" s="35">
        <f t="shared" si="13"/>
        <v>0</v>
      </c>
      <c r="BI22" s="35">
        <f t="shared" si="13"/>
        <v>0</v>
      </c>
      <c r="BJ22" s="35">
        <f t="shared" si="13"/>
        <v>0</v>
      </c>
      <c r="BK22" s="35">
        <f t="shared" si="13"/>
        <v>0</v>
      </c>
      <c r="BL22" s="35">
        <f t="shared" si="13"/>
        <v>0</v>
      </c>
      <c r="BM22" s="35">
        <f t="shared" si="13"/>
        <v>0</v>
      </c>
      <c r="BN22" s="35">
        <f t="shared" si="13"/>
        <v>1.1954545454545455</v>
      </c>
      <c r="BO22" s="35">
        <f t="shared" si="13"/>
        <v>1.2054545454545453</v>
      </c>
      <c r="BP22" s="535">
        <f t="shared" si="13"/>
        <v>1.4630434782608701</v>
      </c>
      <c r="BQ22" s="35">
        <f t="shared" si="13"/>
        <v>1.42</v>
      </c>
      <c r="BR22" s="35">
        <f t="shared" si="13"/>
        <v>0</v>
      </c>
      <c r="BS22" s="35">
        <f t="shared" si="13"/>
        <v>0</v>
      </c>
      <c r="BT22" s="35">
        <f t="shared" si="13"/>
        <v>0</v>
      </c>
      <c r="BU22" s="35">
        <f t="shared" si="13"/>
        <v>0</v>
      </c>
      <c r="BV22" s="35">
        <f t="shared" ref="BV22:CD22" si="14">MIN(BV7:BV18)</f>
        <v>0</v>
      </c>
      <c r="BW22" s="35">
        <f t="shared" si="14"/>
        <v>1.8</v>
      </c>
      <c r="BX22" s="35">
        <f t="shared" si="14"/>
        <v>1.8</v>
      </c>
      <c r="BY22" s="35">
        <f t="shared" si="14"/>
        <v>2609.1999999999998</v>
      </c>
      <c r="BZ22" s="35">
        <f t="shared" si="14"/>
        <v>2050.8888888888887</v>
      </c>
      <c r="CA22" s="35">
        <f t="shared" si="14"/>
        <v>358.63636363636363</v>
      </c>
      <c r="CB22" s="35">
        <f t="shared" si="14"/>
        <v>1.1194333333333333</v>
      </c>
      <c r="CC22" s="35">
        <f t="shared" si="14"/>
        <v>0.81199999999999994</v>
      </c>
      <c r="CD22" s="35">
        <f t="shared" si="14"/>
        <v>0</v>
      </c>
      <c r="CE22" s="35"/>
      <c r="CF22" s="35">
        <f>MIN(CF7:CF18)</f>
        <v>0</v>
      </c>
      <c r="CG22" s="35">
        <f t="shared" ref="CG22:CQ22" si="15">MIN(CG7:CG18)</f>
        <v>0</v>
      </c>
      <c r="CH22" s="35">
        <f t="shared" si="15"/>
        <v>0</v>
      </c>
      <c r="CI22" s="35">
        <f t="shared" si="15"/>
        <v>0</v>
      </c>
      <c r="CJ22" s="35">
        <f t="shared" si="15"/>
        <v>0</v>
      </c>
      <c r="CK22" s="35">
        <f t="shared" si="15"/>
        <v>0</v>
      </c>
      <c r="CL22" s="35">
        <f t="shared" si="15"/>
        <v>0</v>
      </c>
      <c r="CM22" s="35">
        <f t="shared" si="15"/>
        <v>0</v>
      </c>
      <c r="CN22" s="35">
        <f t="shared" si="15"/>
        <v>0</v>
      </c>
      <c r="CO22" s="35">
        <f t="shared" si="15"/>
        <v>0</v>
      </c>
      <c r="CP22" s="35">
        <f t="shared" si="15"/>
        <v>0</v>
      </c>
      <c r="CQ22" s="35">
        <f t="shared" si="15"/>
        <v>0</v>
      </c>
      <c r="CR22" s="35">
        <f>MIN(CR7:CR18)</f>
        <v>27594</v>
      </c>
      <c r="CS22" s="35"/>
      <c r="CT22" s="35"/>
    </row>
    <row r="23" spans="1:99" x14ac:dyDescent="0.2">
      <c r="CF23" s="304"/>
      <c r="CR23" s="305"/>
    </row>
    <row r="24" spans="1:99" x14ac:dyDescent="0.2">
      <c r="CF24" s="304"/>
      <c r="CR24" s="305"/>
    </row>
    <row r="25" spans="1:99" x14ac:dyDescent="0.2">
      <c r="CF25" s="304"/>
      <c r="CR25" s="305"/>
    </row>
    <row r="26" spans="1:99" x14ac:dyDescent="0.2">
      <c r="CF26" s="304"/>
    </row>
    <row r="27" spans="1:99" x14ac:dyDescent="0.2">
      <c r="CF27" s="304"/>
    </row>
    <row r="28" spans="1:99" x14ac:dyDescent="0.2">
      <c r="CF28" s="304"/>
    </row>
    <row r="29" spans="1:99" x14ac:dyDescent="0.2">
      <c r="CF29" s="304"/>
    </row>
    <row r="30" spans="1:99" x14ac:dyDescent="0.2">
      <c r="CF30" s="304"/>
    </row>
    <row r="31" spans="1:99" x14ac:dyDescent="0.2">
      <c r="CF31" s="304"/>
    </row>
    <row r="32" spans="1:99" x14ac:dyDescent="0.2">
      <c r="CF32" s="304"/>
    </row>
    <row r="33" spans="84:84" x14ac:dyDescent="0.2">
      <c r="CF33" s="304"/>
    </row>
    <row r="34" spans="84:84" x14ac:dyDescent="0.2">
      <c r="CF34" s="304"/>
    </row>
    <row r="35" spans="84:84" x14ac:dyDescent="0.2">
      <c r="CF35" s="304"/>
    </row>
    <row r="36" spans="84:84" x14ac:dyDescent="0.2">
      <c r="CF36" s="304"/>
    </row>
    <row r="37" spans="84:84" x14ac:dyDescent="0.2">
      <c r="CF37" s="304"/>
    </row>
    <row r="38" spans="84:84" x14ac:dyDescent="0.2">
      <c r="CF38" s="304"/>
    </row>
    <row r="39" spans="84:84" x14ac:dyDescent="0.2">
      <c r="CF39" s="304"/>
    </row>
  </sheetData>
  <sheetProtection selectLockedCells="1" selectUnlockedCells="1"/>
  <protectedRanges>
    <protectedRange sqref="CU7:IQ18" name="טווח1"/>
    <protectedRange sqref="A2:C2" name="טווח2"/>
    <protectedRange sqref="A7:B18" name="טווח1_1_1"/>
    <protectedRange sqref="C7:C18" name="טווח1_2_1_1"/>
    <protectedRange sqref="BM7:BM18 AE7:AG18" name="טווח1_3"/>
    <protectedRange sqref="CE7:CE18" name="טווח1_22"/>
    <protectedRange sqref="CS7:CT7 CT9 CS8:CS18" name="טווח1_12"/>
    <protectedRange sqref="CT10:CT18 CT8" name="טווח1_12_2"/>
    <protectedRange sqref="D7" name="טווח1_5_3"/>
    <protectedRange sqref="F7:F13 F15:F18" name="טווח1_6_4"/>
    <protectedRange sqref="G8:G18 D8:D18" name="טווח1_18_3"/>
    <protectedRange sqref="I7:I18 G7" name="טווח1_20_3"/>
    <protectedRange sqref="F14" name="טווח1_6_2_3"/>
    <protectedRange sqref="E7:E18 H7:H18" name="טווח1_1_4"/>
    <protectedRange sqref="J9:AD18 J7:AD7 AA8:AD8" name="טווח1_3_3"/>
    <protectedRange sqref="J8:Z8" name="טווח1_3_1_3"/>
    <protectedRange sqref="AH7:AS18" name="טווח1_3_6"/>
    <protectedRange sqref="BH15:BL15 AT7:BL14 AT15 AT16:BL18" name="טווח1_3_7"/>
    <protectedRange sqref="AU15:BG15" name="טווח1_3_4_2"/>
    <protectedRange sqref="BN7:BQ8" name="טווח1_3_1_4_2"/>
    <protectedRange sqref="BT7:BV8" name="טווח1_7_2"/>
    <protectedRange sqref="BY16:CA18 BY7:CA14" name="טווח1_11_3"/>
    <protectedRange sqref="CD15 CB16:CD18 CB7:CD14" name="טווח1_22_5"/>
    <protectedRange sqref="BY15:CA15" name="טווח1_11_2_2"/>
    <protectedRange sqref="CB15:CC15" name="טווח1_22_2_2"/>
    <protectedRange sqref="BR7:BS8" name="טווח1_1_3_2_1_2" securityDescriptor="O:WDG:WDD:(A;;CC;;;S-1-5-21-2288418418-4010610105-560850567-7598)(A;;CC;;;S-1-5-21-2288418418-4010610105-560850567-11300)(A;;CC;;;S-1-5-21-2288418418-4010610105-560850567-19140)(A;;CC;;;S-1-5-21-2288418418-4010610105-560850567-30317)"/>
    <protectedRange sqref="BW7:BX8" name="טווח1_1_3_2_2_2" securityDescriptor="O:WDG:WDD:(A;;CC;;;S-1-5-21-2288418418-4010610105-560850567-7598)(A;;CC;;;S-1-5-21-2288418418-4010610105-560850567-11300)(A;;CC;;;S-1-5-21-2288418418-4010610105-560850567-19140)(A;;CC;;;S-1-5-21-2288418418-4010610105-560850567-30317)"/>
    <protectedRange sqref="BN14:BX15" name="טווח1_8_2"/>
    <protectedRange sqref="BN16:BX18" name="טווח1_3_1_1_2"/>
    <protectedRange sqref="BN13:BX13" name="טווח1_1_3_1_1_2" securityDescriptor="O:WDG:WDD:(A;;CC;;;S-1-5-21-2288418418-4010610105-560850567-7598)(A;;CC;;;S-1-5-21-2288418418-4010610105-560850567-11300)(A;;CC;;;S-1-5-21-2288418418-4010610105-560850567-19140)(A;;CC;;;S-1-5-21-2288418418-4010610105-560850567-30317)"/>
    <protectedRange sqref="BN9:BX11" name="טווח1_1_3_4_2" securityDescriptor="O:WDG:WDD:(A;;CC;;;S-1-5-21-2288418418-4010610105-560850567-7598)(A;;CC;;;S-1-5-21-2288418418-4010610105-560850567-11300)(A;;CC;;;S-1-5-21-2288418418-4010610105-560850567-19140)(A;;CC;;;S-1-5-21-2288418418-4010610105-560850567-30317)"/>
    <protectedRange sqref="BT12:BX12" name="טווח1_3_4_1_2"/>
    <protectedRange sqref="BN12:BS12" name="טווח1_2_1_2_1_2"/>
    <protectedRange sqref="CG9:CN14 CG17:CN18 CF9:CF18 CF7:CN7 CG16:CH16 CJ16:CN16" name="טווח1_22_6"/>
    <protectedRange sqref="CG8:CN8" name="טווח1_22_1_1"/>
    <protectedRange sqref="CO16:CO18 CO7:CR8 CQ16:CR18 CO9:CO14 CQ9:CR14 CP9:CP18" name="טווח1_12_3"/>
    <protectedRange sqref="CG15:CN15 CI16" name="טווח1_22_2_3"/>
    <protectedRange sqref="CO15 CQ15:CR15" name="טווח1_12_1_1"/>
    <protectedRange sqref="CF8" name="טווח1_22_3_1"/>
  </protectedRanges>
  <mergeCells count="60">
    <mergeCell ref="CT4:CT6"/>
    <mergeCell ref="CQ5:CQ6"/>
    <mergeCell ref="CR5:CR6"/>
    <mergeCell ref="CB5:CC5"/>
    <mergeCell ref="CB4:CD4"/>
    <mergeCell ref="CF4:CN4"/>
    <mergeCell ref="CO4:CQ4"/>
    <mergeCell ref="CS4:CS6"/>
    <mergeCell ref="CI5:CN5"/>
    <mergeCell ref="CF5:CF6"/>
    <mergeCell ref="CP5:CP6"/>
    <mergeCell ref="CG5:CH5"/>
    <mergeCell ref="CO5:CO6"/>
    <mergeCell ref="BV5:BV6"/>
    <mergeCell ref="BO5:BO6"/>
    <mergeCell ref="AT4:BM4"/>
    <mergeCell ref="AT5:AW5"/>
    <mergeCell ref="AX5:BD5"/>
    <mergeCell ref="BN5:BN6"/>
    <mergeCell ref="A5:A6"/>
    <mergeCell ref="D5:E5"/>
    <mergeCell ref="A2:D2"/>
    <mergeCell ref="K3:L3"/>
    <mergeCell ref="M3:N3"/>
    <mergeCell ref="J5:Q5"/>
    <mergeCell ref="F3:G3"/>
    <mergeCell ref="C5:C6"/>
    <mergeCell ref="H3:I3"/>
    <mergeCell ref="G5:H5"/>
    <mergeCell ref="D3:E3"/>
    <mergeCell ref="B3:C3"/>
    <mergeCell ref="D4:I4"/>
    <mergeCell ref="B5:B6"/>
    <mergeCell ref="BR5:BS5"/>
    <mergeCell ref="BQ5:BQ6"/>
    <mergeCell ref="BT5:BT6"/>
    <mergeCell ref="BI5:BM5"/>
    <mergeCell ref="BW3:CA3"/>
    <mergeCell ref="BR4:BS4"/>
    <mergeCell ref="BN4:BQ4"/>
    <mergeCell ref="BR3:BV3"/>
    <mergeCell ref="BU5:BU6"/>
    <mergeCell ref="BY4:CA4"/>
    <mergeCell ref="CA5:CA6"/>
    <mergeCell ref="BZ5:BZ6"/>
    <mergeCell ref="BW4:BX4"/>
    <mergeCell ref="BW5:BX5"/>
    <mergeCell ref="BY5:BY6"/>
    <mergeCell ref="BT4:BV4"/>
    <mergeCell ref="J4:AE4"/>
    <mergeCell ref="AF5:AG5"/>
    <mergeCell ref="BP5:BP6"/>
    <mergeCell ref="AA5:AE5"/>
    <mergeCell ref="T5:Z5"/>
    <mergeCell ref="AK5:AM5"/>
    <mergeCell ref="AH4:AS4"/>
    <mergeCell ref="BE5:BG5"/>
    <mergeCell ref="R5:S5"/>
    <mergeCell ref="AN5:AR5"/>
    <mergeCell ref="AH5:AJ5"/>
  </mergeCells>
  <phoneticPr fontId="6" type="noConversion"/>
  <pageMargins left="0.2" right="0.2" top="0.4" bottom="0.56000000000000005" header="0.38"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2"/>
  <dimension ref="A1:K21"/>
  <sheetViews>
    <sheetView showGridLines="0" showZeros="0" rightToLeft="1" workbookViewId="0">
      <pane xSplit="1" ySplit="5" topLeftCell="I6" activePane="bottomRight" state="frozenSplit"/>
      <selection pane="topRight" activeCell="B1" sqref="B1"/>
      <selection pane="bottomLeft" activeCell="A8" sqref="A8"/>
      <selection pane="bottomRight" activeCell="I6" sqref="I6"/>
    </sheetView>
  </sheetViews>
  <sheetFormatPr defaultColWidth="9.140625" defaultRowHeight="12.75" x14ac:dyDescent="0.2"/>
  <cols>
    <col min="1" max="1" width="10" style="224" customWidth="1"/>
    <col min="2" max="2" width="9.85546875" style="224" customWidth="1"/>
    <col min="3" max="3" width="9.140625" style="224" bestFit="1"/>
    <col min="4" max="4" width="8.140625" style="224" customWidth="1"/>
    <col min="5" max="5" width="10.85546875" style="224" customWidth="1"/>
    <col min="6" max="6" width="9.42578125" style="224" customWidth="1"/>
    <col min="7" max="8" width="8.140625" style="224" customWidth="1"/>
    <col min="9" max="9" width="9.42578125" style="224" customWidth="1"/>
    <col min="10" max="10" width="8.28515625" style="224" hidden="1" customWidth="1"/>
    <col min="11" max="11" width="9.5703125" style="224" hidden="1" customWidth="1"/>
    <col min="12" max="16384" width="9.140625" style="224"/>
  </cols>
  <sheetData>
    <row r="1" spans="1:11" ht="13.5" thickBot="1" x14ac:dyDescent="0.25"/>
    <row r="2" spans="1:11" ht="13.5" thickBot="1" x14ac:dyDescent="0.25">
      <c r="A2" s="621"/>
      <c r="B2" s="622"/>
      <c r="C2" s="623"/>
      <c r="D2" s="624" t="s">
        <v>121</v>
      </c>
      <c r="E2" s="625"/>
      <c r="F2" s="625"/>
      <c r="G2" s="625"/>
      <c r="H2" s="625"/>
      <c r="I2" s="625"/>
      <c r="J2" s="625"/>
      <c r="K2" s="626"/>
    </row>
    <row r="3" spans="1:11" ht="13.5" customHeight="1" thickBot="1" x14ac:dyDescent="0.25">
      <c r="A3" s="390"/>
      <c r="B3" s="633" t="s">
        <v>25</v>
      </c>
      <c r="C3" s="627"/>
      <c r="D3" s="225" t="s">
        <v>171</v>
      </c>
      <c r="E3" s="627" t="s">
        <v>173</v>
      </c>
      <c r="F3" s="627"/>
      <c r="G3" s="225" t="s">
        <v>174</v>
      </c>
      <c r="H3" s="373" t="s">
        <v>189</v>
      </c>
      <c r="I3" s="632" t="s">
        <v>182</v>
      </c>
      <c r="J3" s="627"/>
      <c r="K3" s="407" t="s">
        <v>190</v>
      </c>
    </row>
    <row r="4" spans="1:11" ht="24.75" customHeight="1" thickBot="1" x14ac:dyDescent="0.25">
      <c r="A4" s="630" t="s">
        <v>193</v>
      </c>
      <c r="B4" s="630" t="s">
        <v>191</v>
      </c>
      <c r="C4" s="226" t="s">
        <v>192</v>
      </c>
      <c r="D4" s="476" t="s">
        <v>235</v>
      </c>
      <c r="E4" s="628" t="s">
        <v>184</v>
      </c>
      <c r="F4" s="221" t="s">
        <v>192</v>
      </c>
      <c r="G4" s="221" t="s">
        <v>187</v>
      </c>
      <c r="H4" s="221" t="s">
        <v>184</v>
      </c>
      <c r="I4" s="630" t="s">
        <v>184</v>
      </c>
      <c r="J4" s="221" t="s">
        <v>15</v>
      </c>
      <c r="K4" s="630" t="s">
        <v>184</v>
      </c>
    </row>
    <row r="5" spans="1:11" ht="15" customHeight="1" thickBot="1" x14ac:dyDescent="0.25">
      <c r="A5" s="631"/>
      <c r="B5" s="631"/>
      <c r="C5" s="83" t="s">
        <v>2</v>
      </c>
      <c r="D5" s="142" t="s">
        <v>188</v>
      </c>
      <c r="E5" s="629"/>
      <c r="F5" s="83" t="s">
        <v>2</v>
      </c>
      <c r="G5" s="142" t="s">
        <v>188</v>
      </c>
      <c r="H5" s="142" t="s">
        <v>188</v>
      </c>
      <c r="I5" s="631"/>
      <c r="J5" s="83" t="s">
        <v>2</v>
      </c>
      <c r="K5" s="631"/>
    </row>
    <row r="6" spans="1:11" x14ac:dyDescent="0.2">
      <c r="A6" s="385" t="str">
        <f>IF(Table!A7&lt;&gt;"",Table!A7,"")</f>
        <v>ינואר</v>
      </c>
      <c r="B6" s="227">
        <v>37600</v>
      </c>
      <c r="C6" s="227">
        <f>IF(Table!E7&lt;&gt;"",Table!E7,"")</f>
        <v>1212.9032258064517</v>
      </c>
      <c r="D6" s="228">
        <v>19082</v>
      </c>
      <c r="E6" s="229">
        <v>19082</v>
      </c>
      <c r="F6" s="229">
        <f>IF(Table!H7&lt;&gt;"",Table!H7,"")</f>
        <v>615.54838709677415</v>
      </c>
      <c r="G6" s="228">
        <f>IF(AND(F6&lt;&gt;"",D6&lt;&gt;""),D6-E6, "")</f>
        <v>0</v>
      </c>
      <c r="H6" s="231">
        <f>IF(AND(B6&lt;&gt;"",G6&lt;&gt;""),B6-G6, "")</f>
        <v>37600</v>
      </c>
      <c r="I6" s="227">
        <v>6</v>
      </c>
      <c r="J6" s="230">
        <f>IF(AND(I7&lt;&gt;"",I6&lt;&gt;""),I7-I6, "")</f>
        <v>0</v>
      </c>
      <c r="K6" s="228">
        <f>IF(Table!CF7&lt;&gt;"",Table!CF7,"")</f>
        <v>182</v>
      </c>
    </row>
    <row r="7" spans="1:11" x14ac:dyDescent="0.2">
      <c r="A7" s="385" t="str">
        <f>IF(Table!A8&lt;&gt;"",Table!A8,"")</f>
        <v>פברואר</v>
      </c>
      <c r="B7" s="227">
        <f>IF(Table!D8&lt;&gt;"",Table!D8,"")</f>
        <v>37980</v>
      </c>
      <c r="C7" s="227">
        <f>IF(Table!E8&lt;&gt;"",Table!E8,"")</f>
        <v>1356.4285714285713</v>
      </c>
      <c r="D7" s="228">
        <f>IF(Table!F8&lt;&gt;"",Table!F8,"")</f>
        <v>8017</v>
      </c>
      <c r="E7" s="229">
        <f>IF(Table!G8&lt;&gt;"",Table!G8,"")</f>
        <v>8017</v>
      </c>
      <c r="F7" s="229">
        <f>IF(Table!H8&lt;&gt;"",Table!H8,"")</f>
        <v>286.32142857142856</v>
      </c>
      <c r="G7" s="228">
        <f>IF(AND(F7&lt;&gt;"",D7&lt;&gt;""),D7-E7, "")</f>
        <v>0</v>
      </c>
      <c r="H7" s="231">
        <f>IF(AND(B7&lt;&gt;"",G7&lt;&gt;""),B7-G7, "")</f>
        <v>37980</v>
      </c>
      <c r="I7" s="227">
        <f>IF(Table!I8&lt;&gt;"",Table!I8,"")</f>
        <v>6</v>
      </c>
      <c r="J7" s="230">
        <f t="shared" ref="J7:J16" si="0">IF(AND(I8&lt;&gt;"",I7&lt;&gt;""),I8-I7, "")</f>
        <v>1</v>
      </c>
      <c r="K7" s="228">
        <f>IF(Table!CF8&lt;&gt;"",Table!CF8,"")</f>
        <v>0</v>
      </c>
    </row>
    <row r="8" spans="1:11" x14ac:dyDescent="0.2">
      <c r="A8" s="385" t="str">
        <f>IF(Table!A9&lt;&gt;"",Table!A9,"")</f>
        <v>מרץ</v>
      </c>
      <c r="B8" s="227">
        <f>IF(Table!D9&lt;&gt;"",Table!D9,"")</f>
        <v>41914</v>
      </c>
      <c r="C8" s="227">
        <f>IF(Table!E9&lt;&gt;"",Table!E9,"")</f>
        <v>1352.0645161290322</v>
      </c>
      <c r="D8" s="228">
        <f>IF(Table!F9&lt;&gt;"",Table!F9,"")</f>
        <v>13123</v>
      </c>
      <c r="E8" s="229">
        <f>IF(Table!G9&lt;&gt;"",Table!G9,"")</f>
        <v>13123</v>
      </c>
      <c r="F8" s="229">
        <f>IF(Table!H9&lt;&gt;"",Table!H9,"")</f>
        <v>423.32258064516128</v>
      </c>
      <c r="G8" s="228">
        <f t="shared" ref="G8:G17" si="1">IF(AND(F8&lt;&gt;"",D8&lt;&gt;""),D8-E8, "")</f>
        <v>0</v>
      </c>
      <c r="H8" s="231">
        <f t="shared" ref="H8:H17" si="2">IF(AND(B8&lt;&gt;"",G8&lt;&gt;""),B8-G8, "")</f>
        <v>41914</v>
      </c>
      <c r="I8" s="227">
        <f>IF(Table!I9&lt;&gt;"",Table!I9,"")</f>
        <v>7</v>
      </c>
      <c r="J8" s="230">
        <f t="shared" si="0"/>
        <v>-4</v>
      </c>
      <c r="K8" s="228">
        <f>IF(Table!CF9&lt;&gt;"",Table!CF9,"")</f>
        <v>0</v>
      </c>
    </row>
    <row r="9" spans="1:11" x14ac:dyDescent="0.2">
      <c r="A9" s="385" t="str">
        <f>IF(Table!A10&lt;&gt;"",Table!A10,"")</f>
        <v>אפריל</v>
      </c>
      <c r="B9" s="227">
        <f>IF(Table!D10&lt;&gt;"",Table!D10,"")</f>
        <v>40001</v>
      </c>
      <c r="C9" s="227">
        <f>IF(Table!E10&lt;&gt;"",Table!E10,"")</f>
        <v>1333.3666666666666</v>
      </c>
      <c r="D9" s="228">
        <f>IF(Table!F10&lt;&gt;"",Table!F10,"")</f>
        <v>30166</v>
      </c>
      <c r="E9" s="229">
        <f>IF(Table!G10&lt;&gt;"",Table!G10,"")</f>
        <v>30166</v>
      </c>
      <c r="F9" s="229">
        <f>IF(Table!H10&lt;&gt;"",Table!H10,"")</f>
        <v>1005.5333333333333</v>
      </c>
      <c r="G9" s="228">
        <f t="shared" si="1"/>
        <v>0</v>
      </c>
      <c r="H9" s="231">
        <f t="shared" si="2"/>
        <v>40001</v>
      </c>
      <c r="I9" s="227">
        <f>IF(Table!I10&lt;&gt;"",Table!I10,"")</f>
        <v>3</v>
      </c>
      <c r="J9" s="230">
        <f t="shared" si="0"/>
        <v>5</v>
      </c>
      <c r="K9" s="228">
        <f>IF(Table!CF10&lt;&gt;"",Table!CF10,"")</f>
        <v>207</v>
      </c>
    </row>
    <row r="10" spans="1:11" x14ac:dyDescent="0.2">
      <c r="A10" s="385" t="str">
        <f>IF(Table!A11&lt;&gt;"",Table!A11,"")</f>
        <v>מאי</v>
      </c>
      <c r="B10" s="227">
        <f>IF(Table!D11&lt;&gt;"",Table!D11,"")</f>
        <v>40685</v>
      </c>
      <c r="C10" s="227">
        <f>IF(Table!E11&lt;&gt;"",Table!E11,"")</f>
        <v>1312.4193548387098</v>
      </c>
      <c r="D10" s="228">
        <f>IF(Table!F11&lt;&gt;"",Table!F11,"")</f>
        <v>32839</v>
      </c>
      <c r="E10" s="229">
        <f>IF(Table!G11&lt;&gt;"",Table!G11,"")</f>
        <v>32839</v>
      </c>
      <c r="F10" s="229">
        <f>IF(Table!H11&lt;&gt;"",Table!H11,"")</f>
        <v>1059.3225806451612</v>
      </c>
      <c r="G10" s="228">
        <f t="shared" si="1"/>
        <v>0</v>
      </c>
      <c r="H10" s="231">
        <f t="shared" si="2"/>
        <v>40685</v>
      </c>
      <c r="I10" s="227">
        <f>IF(Table!I11&lt;&gt;"",Table!I11,"")</f>
        <v>8</v>
      </c>
      <c r="J10" s="230">
        <f t="shared" si="0"/>
        <v>-3</v>
      </c>
      <c r="K10" s="228">
        <f>IF(Table!CF11&lt;&gt;"",Table!CF11,"")</f>
        <v>192</v>
      </c>
    </row>
    <row r="11" spans="1:11" x14ac:dyDescent="0.2">
      <c r="A11" s="385" t="str">
        <f>IF(Table!A12&lt;&gt;"",Table!A12,"")</f>
        <v>יוני</v>
      </c>
      <c r="B11" s="227">
        <f>IF(Table!D12&lt;&gt;"",Table!D12,"")</f>
        <v>40883</v>
      </c>
      <c r="C11" s="227">
        <f>IF(Table!E12&lt;&gt;"",Table!E12,"")</f>
        <v>1362.7666666666667</v>
      </c>
      <c r="D11" s="228">
        <f>IF(Table!F12&lt;&gt;"",Table!F12,"")</f>
        <v>32886</v>
      </c>
      <c r="E11" s="229">
        <f>IF(Table!G12&lt;&gt;"",Table!G12,"")</f>
        <v>32886</v>
      </c>
      <c r="F11" s="229">
        <f>IF(Table!H12&lt;&gt;"",Table!H12,"")</f>
        <v>1060</v>
      </c>
      <c r="G11" s="228">
        <f t="shared" si="1"/>
        <v>0</v>
      </c>
      <c r="H11" s="231">
        <f t="shared" si="2"/>
        <v>40883</v>
      </c>
      <c r="I11" s="227">
        <f>IF(Table!I12&lt;&gt;"",Table!I12,"")</f>
        <v>5</v>
      </c>
      <c r="J11" s="230">
        <f t="shared" si="0"/>
        <v>4</v>
      </c>
      <c r="K11" s="228">
        <f>IF(Table!CF12&lt;&gt;"",Table!CF12,"")</f>
        <v>0</v>
      </c>
    </row>
    <row r="12" spans="1:11" x14ac:dyDescent="0.2">
      <c r="A12" s="385" t="str">
        <f>IF(Table!A13&lt;&gt;"",Table!A13,"")</f>
        <v>יולי</v>
      </c>
      <c r="B12" s="227">
        <f>IF(Table!D13&lt;&gt;"",Table!D13,"")</f>
        <v>40342</v>
      </c>
      <c r="C12" s="227">
        <f>IF(Table!E13&lt;&gt;"",Table!E13,"")</f>
        <v>1301.3548387096773</v>
      </c>
      <c r="D12" s="228">
        <f>IF(Table!F13&lt;&gt;"",Table!F13,"")</f>
        <v>41801</v>
      </c>
      <c r="E12" s="229">
        <f>IF(Table!G13&lt;&gt;"",Table!G13,"")</f>
        <v>41801</v>
      </c>
      <c r="F12" s="229">
        <f>IF(Table!H13&lt;&gt;"",Table!H13,"")</f>
        <v>1348.4193548387098</v>
      </c>
      <c r="G12" s="228">
        <f t="shared" si="1"/>
        <v>0</v>
      </c>
      <c r="H12" s="231">
        <f t="shared" si="2"/>
        <v>40342</v>
      </c>
      <c r="I12" s="227">
        <f>IF(Table!I13&lt;&gt;"",Table!I13,"")</f>
        <v>9</v>
      </c>
      <c r="J12" s="230">
        <f t="shared" si="0"/>
        <v>-2</v>
      </c>
      <c r="K12" s="228">
        <f>IF(Table!CF13&lt;&gt;"",Table!CF13,"")</f>
        <v>201</v>
      </c>
    </row>
    <row r="13" spans="1:11" x14ac:dyDescent="0.2">
      <c r="A13" s="385" t="str">
        <f>IF(Table!A14&lt;&gt;"",Table!A14,"")</f>
        <v>אוגוסט</v>
      </c>
      <c r="B13" s="227">
        <f>IF(Table!D14&lt;&gt;"",Table!D14,"")</f>
        <v>37058</v>
      </c>
      <c r="C13" s="227">
        <f>IF(Table!E14&lt;&gt;"",Table!E14,"")</f>
        <v>1195.4193548387098</v>
      </c>
      <c r="D13" s="228">
        <f>IF(Table!F14&lt;&gt;"",Table!F14,"")</f>
        <v>40426</v>
      </c>
      <c r="E13" s="229">
        <f>IF(Table!G14&lt;&gt;"",Table!G14,"")</f>
        <v>40426</v>
      </c>
      <c r="F13" s="229">
        <f>IF(Table!H14&lt;&gt;"",Table!H14,"")</f>
        <v>1304.0645161290322</v>
      </c>
      <c r="G13" s="228">
        <f t="shared" si="1"/>
        <v>0</v>
      </c>
      <c r="H13" s="231">
        <f t="shared" si="2"/>
        <v>37058</v>
      </c>
      <c r="I13" s="227">
        <f>IF(Table!I14&lt;&gt;"",Table!I14,"")</f>
        <v>7</v>
      </c>
      <c r="J13" s="230">
        <f t="shared" si="0"/>
        <v>0</v>
      </c>
      <c r="K13" s="228">
        <f>IF(Table!CF14&lt;&gt;"",Table!CF14,"")</f>
        <v>230</v>
      </c>
    </row>
    <row r="14" spans="1:11" x14ac:dyDescent="0.2">
      <c r="A14" s="385" t="str">
        <f>IF(Table!A15&lt;&gt;"",Table!A15,"")</f>
        <v>ספטמבר</v>
      </c>
      <c r="B14" s="227">
        <f>IF(Table!D15&lt;&gt;"",Table!D15,"")</f>
        <v>35596</v>
      </c>
      <c r="C14" s="227">
        <f>IF(Table!E15&lt;&gt;"",Table!E15,"")</f>
        <v>1186.5333333333333</v>
      </c>
      <c r="D14" s="228">
        <f>IF(Table!F15&lt;&gt;"",Table!F15,"")</f>
        <v>34322</v>
      </c>
      <c r="E14" s="229">
        <f>IF(Table!G15&lt;&gt;"",Table!G15,"")</f>
        <v>34322</v>
      </c>
      <c r="F14" s="229">
        <f>IF(Table!H15&lt;&gt;"",Table!H15,"")</f>
        <v>1144.0666666666666</v>
      </c>
      <c r="G14" s="228">
        <f t="shared" si="1"/>
        <v>0</v>
      </c>
      <c r="H14" s="231">
        <f t="shared" si="2"/>
        <v>35596</v>
      </c>
      <c r="I14" s="227">
        <f>IF(Table!I15&lt;&gt;"",Table!I15,"")</f>
        <v>7</v>
      </c>
      <c r="J14" s="230">
        <f t="shared" si="0"/>
        <v>-1</v>
      </c>
      <c r="K14" s="228">
        <f>IF(Table!CF15&lt;&gt;"",Table!CF15,"")</f>
        <v>145</v>
      </c>
    </row>
    <row r="15" spans="1:11" x14ac:dyDescent="0.2">
      <c r="A15" s="385" t="str">
        <f>IF(Table!A16&lt;&gt;"",Table!A16,"")</f>
        <v>אוקטובר</v>
      </c>
      <c r="B15" s="227">
        <f>IF(Table!D16&lt;&gt;"",Table!D16,"")</f>
        <v>39451</v>
      </c>
      <c r="C15" s="227">
        <f>IF(Table!E16&lt;&gt;"",Table!E16,"")</f>
        <v>1272.6129032258063</v>
      </c>
      <c r="D15" s="228">
        <f>IF(Table!F16&lt;&gt;"",Table!F16,"")</f>
        <v>33620</v>
      </c>
      <c r="E15" s="229">
        <f>IF(Table!G16&lt;&gt;"",Table!G16,"")</f>
        <v>33620</v>
      </c>
      <c r="F15" s="229">
        <f>IF(Table!H16&lt;&gt;"",Table!H16,"")</f>
        <v>1084.516129032258</v>
      </c>
      <c r="G15" s="228">
        <f t="shared" si="1"/>
        <v>0</v>
      </c>
      <c r="H15" s="231">
        <f t="shared" si="2"/>
        <v>39451</v>
      </c>
      <c r="I15" s="227">
        <f>IF(Table!I16&lt;&gt;"",Table!I16,"")</f>
        <v>6</v>
      </c>
      <c r="J15" s="230">
        <f t="shared" si="0"/>
        <v>2</v>
      </c>
      <c r="K15" s="228">
        <f>IF(Table!CF16&lt;&gt;"",Table!CF16,"")</f>
        <v>634</v>
      </c>
    </row>
    <row r="16" spans="1:11" x14ac:dyDescent="0.2">
      <c r="A16" s="385" t="str">
        <f>IF(Table!A17&lt;&gt;"",Table!A17,"")</f>
        <v>נובמבר</v>
      </c>
      <c r="B16" s="227">
        <f>IF(Table!D17&lt;&gt;"",Table!D17,"")</f>
        <v>37242</v>
      </c>
      <c r="C16" s="227">
        <f>IF(Table!E17&lt;&gt;"",Table!E17,"")</f>
        <v>1241.4000000000001</v>
      </c>
      <c r="D16" s="228">
        <f>IF(Table!F17&lt;&gt;"",Table!F17,"")</f>
        <v>24958</v>
      </c>
      <c r="E16" s="229">
        <f>IF(Table!G17&lt;&gt;"",Table!G17,"")</f>
        <v>24958</v>
      </c>
      <c r="F16" s="229">
        <f>IF(Table!H17&lt;&gt;"",Table!H17,"")</f>
        <v>831.93333333333328</v>
      </c>
      <c r="G16" s="228">
        <f t="shared" si="1"/>
        <v>0</v>
      </c>
      <c r="H16" s="231">
        <f t="shared" si="2"/>
        <v>37242</v>
      </c>
      <c r="I16" s="227">
        <f>IF(Table!I17&lt;&gt;"",Table!I17,"")</f>
        <v>8</v>
      </c>
      <c r="J16" s="230">
        <f t="shared" si="0"/>
        <v>-4</v>
      </c>
      <c r="K16" s="228">
        <f>IF(Table!CF17&lt;&gt;"",Table!CF17,"")</f>
        <v>398</v>
      </c>
    </row>
    <row r="17" spans="1:11" ht="13.5" thickBot="1" x14ac:dyDescent="0.25">
      <c r="A17" s="385" t="str">
        <f>IF(Table!A18&lt;&gt;"",Table!A18,"")</f>
        <v>דצמבר</v>
      </c>
      <c r="B17" s="227">
        <f>IF(Table!D18&lt;&gt;"",Table!D18,"")</f>
        <v>41979</v>
      </c>
      <c r="C17" s="227">
        <f>IF(Table!E18&lt;&gt;"",Table!E18,"")</f>
        <v>1354.1612903225807</v>
      </c>
      <c r="D17" s="228">
        <f>IF(Table!F18&lt;&gt;"",Table!F18,"")</f>
        <v>15718</v>
      </c>
      <c r="E17" s="229">
        <f>IF(Table!G18&lt;&gt;"",Table!G18,"")</f>
        <v>15718</v>
      </c>
      <c r="F17" s="229">
        <f>IF(Table!H18&lt;&gt;"",Table!H18,"")</f>
        <v>507.03225806451616</v>
      </c>
      <c r="G17" s="228">
        <f t="shared" si="1"/>
        <v>0</v>
      </c>
      <c r="H17" s="231">
        <f t="shared" si="2"/>
        <v>41979</v>
      </c>
      <c r="I17" s="227">
        <f>IF(Table!I18&lt;&gt;"",Table!I18,"")</f>
        <v>4</v>
      </c>
      <c r="J17" s="230" t="e">
        <f>IF(AND(#REF!&lt;&gt;"",I17&lt;&gt;""),#REF!-I17, "")</f>
        <v>#REF!</v>
      </c>
      <c r="K17" s="228">
        <f>IF(Table!CF18&lt;&gt;"",Table!CF18,"")</f>
        <v>324</v>
      </c>
    </row>
    <row r="18" spans="1:11" x14ac:dyDescent="0.2">
      <c r="A18" s="394" t="s">
        <v>203</v>
      </c>
      <c r="B18" s="232">
        <f>SUM(B6:B17)</f>
        <v>470731</v>
      </c>
      <c r="C18" s="233"/>
      <c r="D18" s="234">
        <f>SUM(D6:D17)</f>
        <v>326958</v>
      </c>
      <c r="E18" s="232">
        <f>SUM(E6:E17)</f>
        <v>326958</v>
      </c>
      <c r="F18" s="235"/>
      <c r="G18" s="234">
        <f>SUM(G6:G17)</f>
        <v>0</v>
      </c>
      <c r="H18" s="236">
        <f>SUM(H6:H17)</f>
        <v>470731</v>
      </c>
      <c r="I18" s="232">
        <f>SUM(I6:I17)</f>
        <v>76</v>
      </c>
      <c r="J18" s="235" t="e">
        <f>SUM(J6:J17)</f>
        <v>#REF!</v>
      </c>
      <c r="K18" s="234">
        <f>SUM(K6:K17)</f>
        <v>2513</v>
      </c>
    </row>
    <row r="19" spans="1:11" x14ac:dyDescent="0.2">
      <c r="A19" s="395" t="s">
        <v>3</v>
      </c>
      <c r="B19" s="401">
        <f>AVERAGE(B6:B17)</f>
        <v>39227.583333333336</v>
      </c>
      <c r="C19" s="401">
        <f>AVERAGE(C6:C17)</f>
        <v>1290.1192268305174</v>
      </c>
      <c r="D19" s="382">
        <f>AVERAGE(D6:D17)</f>
        <v>27246.5</v>
      </c>
      <c r="E19" s="401">
        <f>AVERAGE(E6:E17)</f>
        <v>27246.5</v>
      </c>
      <c r="F19" s="404">
        <f t="shared" ref="F19:K19" si="3">AVERAGE(F6:F17)</f>
        <v>889.17338069636446</v>
      </c>
      <c r="G19" s="382">
        <f t="shared" si="3"/>
        <v>0</v>
      </c>
      <c r="H19" s="379">
        <f t="shared" si="3"/>
        <v>39227.583333333336</v>
      </c>
      <c r="I19" s="379">
        <f t="shared" si="3"/>
        <v>6.333333333333333</v>
      </c>
      <c r="J19" s="354" t="e">
        <f t="shared" si="3"/>
        <v>#REF!</v>
      </c>
      <c r="K19" s="382">
        <f t="shared" si="3"/>
        <v>209.41666666666666</v>
      </c>
    </row>
    <row r="20" spans="1:11" x14ac:dyDescent="0.2">
      <c r="A20" s="395" t="s">
        <v>17</v>
      </c>
      <c r="B20" s="402">
        <f>MAX(B6:B17)</f>
        <v>41979</v>
      </c>
      <c r="C20" s="402">
        <f>MAX(C6:C17)</f>
        <v>1362.7666666666667</v>
      </c>
      <c r="D20" s="383">
        <f>MAX(D6:D17)</f>
        <v>41801</v>
      </c>
      <c r="E20" s="402">
        <f>MAX(E6:E17)</f>
        <v>41801</v>
      </c>
      <c r="F20" s="405">
        <f t="shared" ref="F20:K20" si="4">MAX(F6:F17)</f>
        <v>1348.4193548387098</v>
      </c>
      <c r="G20" s="383">
        <f t="shared" si="4"/>
        <v>0</v>
      </c>
      <c r="H20" s="380">
        <f t="shared" si="4"/>
        <v>41979</v>
      </c>
      <c r="I20" s="380">
        <f t="shared" si="4"/>
        <v>9</v>
      </c>
      <c r="J20" s="327" t="e">
        <f t="shared" si="4"/>
        <v>#REF!</v>
      </c>
      <c r="K20" s="383">
        <f t="shared" si="4"/>
        <v>634</v>
      </c>
    </row>
    <row r="21" spans="1:11" ht="13.5" thickBot="1" x14ac:dyDescent="0.25">
      <c r="A21" s="396" t="s">
        <v>18</v>
      </c>
      <c r="B21" s="403">
        <f>MIN(B6:B17)</f>
        <v>35596</v>
      </c>
      <c r="C21" s="403">
        <f>MIN(C6:C17)</f>
        <v>1186.5333333333333</v>
      </c>
      <c r="D21" s="384">
        <f>MIN(D6:D17)</f>
        <v>8017</v>
      </c>
      <c r="E21" s="403">
        <f>MIN(E6:E17)</f>
        <v>8017</v>
      </c>
      <c r="F21" s="406">
        <f t="shared" ref="F21:K21" si="5">MIN(F6:F17)</f>
        <v>286.32142857142856</v>
      </c>
      <c r="G21" s="384">
        <f t="shared" si="5"/>
        <v>0</v>
      </c>
      <c r="H21" s="381">
        <f t="shared" si="5"/>
        <v>35596</v>
      </c>
      <c r="I21" s="381">
        <f t="shared" si="5"/>
        <v>3</v>
      </c>
      <c r="J21" s="122" t="e">
        <f t="shared" si="5"/>
        <v>#REF!</v>
      </c>
      <c r="K21" s="384">
        <f t="shared" si="5"/>
        <v>0</v>
      </c>
    </row>
  </sheetData>
  <sheetProtection formatCells="0" formatColumns="0" formatRows="0"/>
  <mergeCells count="10">
    <mergeCell ref="A2:C2"/>
    <mergeCell ref="D2:K2"/>
    <mergeCell ref="E3:F3"/>
    <mergeCell ref="E4:E5"/>
    <mergeCell ref="I4:I5"/>
    <mergeCell ref="A4:A5"/>
    <mergeCell ref="I3:J3"/>
    <mergeCell ref="B3:C3"/>
    <mergeCell ref="B4:B5"/>
    <mergeCell ref="K4:K5"/>
  </mergeCells>
  <phoneticPr fontId="6" type="noConversion"/>
  <printOptions horizontalCentered="1" verticalCentered="1"/>
  <pageMargins left="0.23622047244094491" right="0.35433070866141736" top="0.64" bottom="0.61" header="0.3" footer="0.32"/>
  <pageSetup paperSize="9" scale="90" pageOrder="overThenDown" orientation="landscape" horizontalDpi="4294967295" verticalDpi="200" r:id="rId1"/>
  <headerFooter alignWithMargins="0">
    <oddHeader>&amp;C
&amp;20&amp;Xא.ל.ד איכות הסביבה</oddHeader>
    <oddFooter>&amp;C&amp;16&amp;Yמכון טיהור שפכים להבים</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3"/>
  <sheetViews>
    <sheetView showGridLines="0" showZeros="0" rightToLeft="1" workbookViewId="0">
      <pane xSplit="2" ySplit="5" topLeftCell="C6" activePane="bottomRight" state="frozenSplit"/>
      <selection pane="topRight" activeCell="B1" sqref="B1"/>
      <selection pane="bottomLeft" activeCell="A8" sqref="A8"/>
      <selection pane="bottomRight" activeCell="H23" sqref="H23"/>
    </sheetView>
  </sheetViews>
  <sheetFormatPr defaultColWidth="9.140625" defaultRowHeight="12.75" x14ac:dyDescent="0.2"/>
  <cols>
    <col min="1" max="1" width="7" style="82" customWidth="1"/>
    <col min="2" max="2" width="26.85546875" style="82" customWidth="1"/>
    <col min="3" max="3" width="6.42578125" style="82" customWidth="1"/>
    <col min="4" max="4" width="6.140625" style="82" customWidth="1"/>
    <col min="5" max="5" width="8" style="82" bestFit="1" customWidth="1"/>
    <col min="6" max="6" width="8.85546875" style="82" bestFit="1" customWidth="1"/>
    <col min="7" max="7" width="8" style="82" bestFit="1" customWidth="1"/>
    <col min="8" max="8" width="7.42578125" style="82" customWidth="1"/>
    <col min="9" max="9" width="6.5703125" style="82" customWidth="1"/>
    <col min="10" max="10" width="7.85546875" style="82" customWidth="1"/>
    <col min="11" max="11" width="6.5703125" style="82" customWidth="1"/>
    <col min="12" max="12" width="8" style="82" bestFit="1" customWidth="1"/>
    <col min="13" max="13" width="8" style="82" hidden="1" customWidth="1"/>
    <col min="14" max="14" width="7.140625" style="82" bestFit="1" customWidth="1"/>
    <col min="15" max="15" width="5.85546875" style="82" customWidth="1"/>
    <col min="16" max="18" width="8" style="82" bestFit="1" customWidth="1"/>
    <col min="19" max="19" width="6.28515625" style="82" customWidth="1"/>
    <col min="20" max="20" width="10" style="82" customWidth="1"/>
    <col min="21" max="21" width="7.5703125" style="82" customWidth="1"/>
    <col min="22" max="22" width="8" style="82" customWidth="1"/>
    <col min="23" max="23" width="9.7109375" style="82" customWidth="1"/>
    <col min="24" max="16384" width="9.140625" style="82"/>
  </cols>
  <sheetData>
    <row r="1" spans="1:23" ht="13.5" thickBot="1" x14ac:dyDescent="0.25"/>
    <row r="2" spans="1:23" ht="13.5" thickBot="1" x14ac:dyDescent="0.25">
      <c r="A2" s="634" t="s">
        <v>238</v>
      </c>
      <c r="B2" s="622"/>
      <c r="C2" s="622"/>
      <c r="D2" s="623"/>
      <c r="E2" s="624" t="s">
        <v>160</v>
      </c>
      <c r="F2" s="625"/>
      <c r="G2" s="625"/>
      <c r="H2" s="625"/>
      <c r="I2" s="625"/>
      <c r="J2" s="625"/>
      <c r="K2" s="625"/>
      <c r="L2" s="625"/>
      <c r="M2" s="625"/>
      <c r="N2" s="625"/>
      <c r="O2" s="625"/>
      <c r="P2" s="625"/>
      <c r="Q2" s="625"/>
      <c r="R2" s="625"/>
      <c r="S2" s="625"/>
      <c r="T2" s="625"/>
      <c r="U2" s="625"/>
      <c r="V2" s="625"/>
      <c r="W2" s="625"/>
    </row>
    <row r="3" spans="1:23" ht="13.5" thickBot="1" x14ac:dyDescent="0.25">
      <c r="A3" s="633" t="s">
        <v>42</v>
      </c>
      <c r="B3" s="639"/>
      <c r="C3" s="633" t="s">
        <v>26</v>
      </c>
      <c r="D3" s="627"/>
      <c r="E3" s="627"/>
      <c r="F3" s="627"/>
      <c r="G3" s="627"/>
      <c r="H3" s="627"/>
      <c r="I3" s="627"/>
      <c r="J3" s="627"/>
      <c r="K3" s="627"/>
      <c r="L3" s="627"/>
      <c r="M3" s="627"/>
      <c r="N3" s="627"/>
      <c r="O3" s="627"/>
      <c r="P3" s="627"/>
      <c r="Q3" s="627"/>
      <c r="R3" s="627"/>
      <c r="S3" s="627"/>
      <c r="T3" s="627"/>
      <c r="U3" s="627"/>
      <c r="V3" s="627"/>
      <c r="W3" s="627"/>
    </row>
    <row r="4" spans="1:23" ht="28.5" customHeight="1" thickBot="1" x14ac:dyDescent="0.25">
      <c r="A4" s="635" t="s">
        <v>193</v>
      </c>
      <c r="B4" s="636"/>
      <c r="C4" s="133" t="s">
        <v>5</v>
      </c>
      <c r="D4" s="134" t="s">
        <v>4</v>
      </c>
      <c r="E4" s="134" t="s">
        <v>122</v>
      </c>
      <c r="F4" s="134" t="s">
        <v>126</v>
      </c>
      <c r="G4" s="134" t="s">
        <v>127</v>
      </c>
      <c r="H4" s="134" t="s">
        <v>7</v>
      </c>
      <c r="I4" s="135" t="s">
        <v>128</v>
      </c>
      <c r="J4" s="132" t="s">
        <v>129</v>
      </c>
      <c r="K4" s="136" t="s">
        <v>137</v>
      </c>
      <c r="L4" s="135" t="s">
        <v>71</v>
      </c>
      <c r="M4" s="136" t="s">
        <v>123</v>
      </c>
      <c r="N4" s="136" t="s">
        <v>130</v>
      </c>
      <c r="O4" s="134" t="s">
        <v>131</v>
      </c>
      <c r="P4" s="134" t="s">
        <v>132</v>
      </c>
      <c r="Q4" s="136" t="s">
        <v>133</v>
      </c>
      <c r="R4" s="134" t="s">
        <v>134</v>
      </c>
      <c r="S4" s="135" t="s">
        <v>77</v>
      </c>
      <c r="T4" s="136" t="s">
        <v>135</v>
      </c>
      <c r="U4" s="134" t="s">
        <v>79</v>
      </c>
      <c r="V4" s="134" t="s">
        <v>80</v>
      </c>
      <c r="W4" s="134" t="s">
        <v>81</v>
      </c>
    </row>
    <row r="5" spans="1:23" ht="13.5" thickBot="1" x14ac:dyDescent="0.25">
      <c r="A5" s="637"/>
      <c r="B5" s="638"/>
      <c r="C5" s="238" t="s">
        <v>9</v>
      </c>
      <c r="D5" s="239" t="s">
        <v>9</v>
      </c>
      <c r="E5" s="239" t="s">
        <v>9</v>
      </c>
      <c r="F5" s="239" t="s">
        <v>9</v>
      </c>
      <c r="G5" s="239" t="s">
        <v>9</v>
      </c>
      <c r="H5" s="239" t="s">
        <v>9</v>
      </c>
      <c r="I5" s="240" t="s">
        <v>9</v>
      </c>
      <c r="J5" s="220" t="s">
        <v>9</v>
      </c>
      <c r="K5" s="241" t="s">
        <v>9</v>
      </c>
      <c r="L5" s="240" t="s">
        <v>9</v>
      </c>
      <c r="M5" s="241" t="s">
        <v>9</v>
      </c>
      <c r="N5" s="242" t="s">
        <v>9</v>
      </c>
      <c r="O5" s="243" t="s">
        <v>9</v>
      </c>
      <c r="P5" s="239" t="s">
        <v>9</v>
      </c>
      <c r="Q5" s="242" t="s">
        <v>9</v>
      </c>
      <c r="R5" s="243" t="s">
        <v>9</v>
      </c>
      <c r="S5" s="240" t="s">
        <v>9</v>
      </c>
      <c r="T5" s="242" t="s">
        <v>9</v>
      </c>
      <c r="U5" s="243" t="s">
        <v>9</v>
      </c>
      <c r="V5" s="243" t="s">
        <v>9</v>
      </c>
      <c r="W5" s="243" t="s">
        <v>9</v>
      </c>
    </row>
    <row r="6" spans="1:23" x14ac:dyDescent="0.2">
      <c r="A6" s="646" t="str">
        <f>IF(Table!A7&lt;&gt;"",Table!A7,"")</f>
        <v>ינואר</v>
      </c>
      <c r="B6" s="647"/>
      <c r="C6" s="143">
        <v>343.4</v>
      </c>
      <c r="D6" s="399">
        <v>861.6</v>
      </c>
      <c r="E6" s="145">
        <v>376.4</v>
      </c>
      <c r="F6" s="163">
        <v>39.879999999999995</v>
      </c>
      <c r="G6" s="144">
        <v>84.5</v>
      </c>
      <c r="H6" s="145">
        <v>189</v>
      </c>
      <c r="I6" s="200">
        <v>5.08</v>
      </c>
      <c r="J6" s="525">
        <v>68</v>
      </c>
      <c r="K6" s="441">
        <v>72</v>
      </c>
      <c r="L6" s="412">
        <v>10</v>
      </c>
      <c r="M6" s="465"/>
      <c r="N6" s="441">
        <v>171</v>
      </c>
      <c r="O6" s="441">
        <v>301</v>
      </c>
      <c r="P6" s="466">
        <v>7.75</v>
      </c>
      <c r="Q6" s="442">
        <v>1.5</v>
      </c>
      <c r="R6" s="244">
        <v>0</v>
      </c>
      <c r="S6" s="101">
        <v>5.0000000000000001E-3</v>
      </c>
      <c r="T6" s="148">
        <v>0</v>
      </c>
      <c r="U6" s="148">
        <v>0</v>
      </c>
      <c r="V6" s="155">
        <v>0</v>
      </c>
      <c r="W6" s="244">
        <v>0</v>
      </c>
    </row>
    <row r="7" spans="1:23" x14ac:dyDescent="0.2">
      <c r="A7" s="648" t="str">
        <f>IF(Table!A8&lt;&gt;"",Table!A8,"")</f>
        <v>פברואר</v>
      </c>
      <c r="B7" s="649"/>
      <c r="C7" s="143">
        <f>IF(Table!J8&lt;&gt;"",Table!J8,"")</f>
        <v>319</v>
      </c>
      <c r="D7" s="399">
        <f>IF(Table!K8&lt;&gt;"",Table!K8,"")</f>
        <v>855</v>
      </c>
      <c r="E7" s="145">
        <f>IF(Table!L8&lt;&gt;"",Table!L8,"")</f>
        <v>316</v>
      </c>
      <c r="F7" s="163">
        <f>IF(Table!M8&lt;&gt;"",Table!M8,"")</f>
        <v>48.1</v>
      </c>
      <c r="G7" s="159">
        <f>IF(Table!N8&lt;&gt;"",Table!N8,"")</f>
        <v>151.5</v>
      </c>
      <c r="H7" s="145">
        <f>IF(Table!O8&lt;&gt;"",Table!O8,"")</f>
        <v>186</v>
      </c>
      <c r="I7" s="200">
        <f>IF(Table!P8&lt;&gt;"",Table!P8,"")</f>
        <v>5</v>
      </c>
      <c r="J7" s="525">
        <f>IF(Table!Q8&lt;&gt;"",Table!Q8,"")</f>
        <v>64</v>
      </c>
      <c r="K7" s="467">
        <f>IF(Table!R8&lt;&gt;"",Table!R8,"")</f>
        <v>56</v>
      </c>
      <c r="L7" s="412">
        <f>IF(Table!S8&lt;&gt;"",Table!S8,"")</f>
        <v>10</v>
      </c>
      <c r="M7" s="468" t="str">
        <f>IF(Table!T8&lt;&gt;"",Table!T8,"")</f>
        <v/>
      </c>
      <c r="N7" s="441">
        <f>IF(Table!U8&lt;&gt;"",Table!U8,"")</f>
        <v>0</v>
      </c>
      <c r="O7" s="441">
        <f>IF(Table!V8&lt;&gt;"",Table!V8,"")</f>
        <v>0</v>
      </c>
      <c r="P7" s="466">
        <f>IF(Table!W8&lt;&gt;"",Table!W8,"")</f>
        <v>0</v>
      </c>
      <c r="Q7" s="442">
        <f>IF(Table!X8&lt;&gt;"",Table!X8,"")</f>
        <v>0</v>
      </c>
      <c r="R7" s="165"/>
      <c r="S7" s="400">
        <f>IF(Table!Z8&lt;&gt;"",Table!Z8,"")</f>
        <v>0</v>
      </c>
      <c r="T7" s="148"/>
      <c r="U7" s="148"/>
      <c r="V7" s="155"/>
      <c r="W7" s="165"/>
    </row>
    <row r="8" spans="1:23" x14ac:dyDescent="0.2">
      <c r="A8" s="648" t="str">
        <f>IF(Table!A9&lt;&gt;"",Table!A9,"")</f>
        <v>מרץ</v>
      </c>
      <c r="B8" s="649"/>
      <c r="C8" s="143">
        <f>IF(Table!J9&lt;&gt;"",Table!J9,"")</f>
        <v>234.66666666666666</v>
      </c>
      <c r="D8" s="399">
        <f>IF(Table!K9&lt;&gt;"",Table!K9,"")</f>
        <v>640</v>
      </c>
      <c r="E8" s="527">
        <f>IF(Table!L9&lt;&gt;"",Table!L9,"")</f>
        <v>243</v>
      </c>
      <c r="F8" s="163">
        <f>IF(Table!M9&lt;&gt;"",Table!M9,"")</f>
        <v>41.466666666666669</v>
      </c>
      <c r="G8" s="159">
        <f>IF(Table!N9&lt;&gt;"",Table!N9,"")</f>
        <v>69.333333333333329</v>
      </c>
      <c r="H8" s="145">
        <f>IF(Table!O9&lt;&gt;"",Table!O9,"")</f>
        <v>195</v>
      </c>
      <c r="I8" s="200">
        <f>IF(Table!P9&lt;&gt;"",Table!P9,"")</f>
        <v>7.7</v>
      </c>
      <c r="J8" s="525">
        <f>IF(Table!Q9&lt;&gt;"",Table!Q9,"")</f>
        <v>68.25</v>
      </c>
      <c r="K8" s="467">
        <f>IF(Table!R9&lt;&gt;"",Table!R9,"")</f>
        <v>86</v>
      </c>
      <c r="L8" s="412">
        <f>IF(Table!S9&lt;&gt;"",Table!S9,"")</f>
        <v>10</v>
      </c>
      <c r="M8" s="468" t="str">
        <f>IF(Table!T9&lt;&gt;"",Table!T9,"")</f>
        <v/>
      </c>
      <c r="N8" s="441">
        <f>IF(Table!U9&lt;&gt;"",Table!U9,"")</f>
        <v>50</v>
      </c>
      <c r="O8" s="441">
        <f>IF(Table!V9&lt;&gt;"",Table!V9,"")</f>
        <v>140</v>
      </c>
      <c r="P8" s="466">
        <f>IF(Table!W9&lt;&gt;"",Table!W9,"")</f>
        <v>2.62</v>
      </c>
      <c r="Q8" s="442">
        <f>IF(Table!X9&lt;&gt;"",Table!X9,"")</f>
        <v>0.5</v>
      </c>
      <c r="R8" s="165"/>
      <c r="S8" s="101">
        <f>IF(Table!Z9&lt;&gt;"",Table!Z9,"")</f>
        <v>5.0000000000000001E-3</v>
      </c>
      <c r="T8" s="148"/>
      <c r="U8" s="148"/>
      <c r="V8" s="155"/>
      <c r="W8" s="165"/>
    </row>
    <row r="9" spans="1:23" x14ac:dyDescent="0.2">
      <c r="A9" s="648" t="str">
        <f>IF(Table!A10&lt;&gt;"",Table!A10,"")</f>
        <v>אפריל</v>
      </c>
      <c r="B9" s="649"/>
      <c r="C9" s="143">
        <f>IF(Table!J10&lt;&gt;"",Table!J10,"")</f>
        <v>365.75</v>
      </c>
      <c r="D9" s="399">
        <f>IF(Table!K10&lt;&gt;"",Table!K10,"")</f>
        <v>780</v>
      </c>
      <c r="E9" s="527">
        <f>IF(Table!L10&lt;&gt;"",Table!L10,"")</f>
        <v>349.25</v>
      </c>
      <c r="F9" s="163">
        <f>IF(Table!M10&lt;&gt;"",Table!M10,"")</f>
        <v>36.724999999999994</v>
      </c>
      <c r="G9" s="159">
        <f>IF(Table!N10&lt;&gt;"",Table!N10,"")</f>
        <v>64</v>
      </c>
      <c r="H9" s="145">
        <f>IF(Table!O10&lt;&gt;"",Table!O10,"")</f>
        <v>200</v>
      </c>
      <c r="I9" s="200">
        <f>IF(Table!P10&lt;&gt;"",Table!P10,"")</f>
        <v>6.66</v>
      </c>
      <c r="J9" s="525">
        <f>IF(Table!Q10&lt;&gt;"",Table!Q10,"")</f>
        <v>63.25</v>
      </c>
      <c r="K9" s="467">
        <f>IF(Table!R10&lt;&gt;"",Table!R10,"")</f>
        <v>0</v>
      </c>
      <c r="L9" s="412">
        <f>IF(Table!S10&lt;&gt;"",Table!S10,"")</f>
        <v>10</v>
      </c>
      <c r="M9" s="468" t="str">
        <f>IF(Table!T10&lt;&gt;"",Table!T10,"")</f>
        <v/>
      </c>
      <c r="N9" s="441">
        <f>IF(Table!U10&lt;&gt;"",Table!U10,"")</f>
        <v>0</v>
      </c>
      <c r="O9" s="441">
        <f>IF(Table!V10&lt;&gt;"",Table!V10,"")</f>
        <v>0</v>
      </c>
      <c r="P9" s="466">
        <f>IF(Table!W10&lt;&gt;"",Table!W10,"")</f>
        <v>0</v>
      </c>
      <c r="Q9" s="442">
        <f>IF(Table!X10&lt;&gt;"",Table!X10,"")</f>
        <v>0</v>
      </c>
      <c r="R9" s="165">
        <f>IF(Table!Y10&lt;&gt;"",Table!Y10,"")</f>
        <v>0</v>
      </c>
      <c r="S9" s="101">
        <f>IF(Table!Z10&lt;&gt;"",Table!Z10,"")</f>
        <v>0</v>
      </c>
      <c r="T9" s="148">
        <f>IF(Table!AA10&lt;&gt;"",Table!AA10,"")</f>
        <v>0</v>
      </c>
      <c r="U9" s="148">
        <f>IF(Table!AB10&lt;&gt;"",Table!AB10,"")</f>
        <v>0</v>
      </c>
      <c r="V9" s="155">
        <f>IF(Table!AC10&lt;&gt;"",Table!AC10,"")</f>
        <v>0</v>
      </c>
      <c r="W9" s="165">
        <f>IF(Table!AD10&lt;&gt;"",Table!AD10,"")</f>
        <v>0</v>
      </c>
    </row>
    <row r="10" spans="1:23" x14ac:dyDescent="0.2">
      <c r="A10" s="648" t="str">
        <f>IF(Table!A11&lt;&gt;"",Table!A11,"")</f>
        <v>מאי</v>
      </c>
      <c r="B10" s="649"/>
      <c r="C10" s="143">
        <f>IF(Table!J11&lt;&gt;"",Table!J11,"")</f>
        <v>363.5</v>
      </c>
      <c r="D10" s="399">
        <f>IF(Table!K11&lt;&gt;"",Table!K11,"")</f>
        <v>873.16666666666663</v>
      </c>
      <c r="E10" s="527">
        <f>IF(Table!L11&lt;&gt;"",Table!L11,"")</f>
        <v>364</v>
      </c>
      <c r="F10" s="163">
        <f>IF(Table!M11&lt;&gt;"",Table!M11,"")</f>
        <v>41.35</v>
      </c>
      <c r="G10" s="159">
        <f>IF(Table!N11&lt;&gt;"",Table!N11,"")</f>
        <v>112</v>
      </c>
      <c r="H10" s="145">
        <f>IF(Table!O11&lt;&gt;"",Table!O11,"")</f>
        <v>387</v>
      </c>
      <c r="I10" s="200">
        <f>IF(Table!P11&lt;&gt;"",Table!P11,"")</f>
        <v>6.1400000000000006</v>
      </c>
      <c r="J10" s="525">
        <f>IF(Table!Q11&lt;&gt;"",Table!Q11,"")</f>
        <v>62.75</v>
      </c>
      <c r="K10" s="467">
        <f>IF(Table!R11&lt;&gt;"",Table!R11,"")</f>
        <v>85</v>
      </c>
      <c r="L10" s="412">
        <f>IF(Table!S11&lt;&gt;"",Table!S11,"")</f>
        <v>10</v>
      </c>
      <c r="M10" s="468" t="str">
        <f>IF(Table!T11&lt;&gt;"",Table!T11,"")</f>
        <v/>
      </c>
      <c r="N10" s="441">
        <f>IF(Table!U11&lt;&gt;"",Table!U11,"")</f>
        <v>121</v>
      </c>
      <c r="O10" s="441">
        <f>IF(Table!V11&lt;&gt;"",Table!V11,"")</f>
        <v>231</v>
      </c>
      <c r="P10" s="466">
        <f>IF(Table!W11&lt;&gt;"",Table!W11,"")</f>
        <v>14.8</v>
      </c>
      <c r="Q10" s="526">
        <f>IF(Table!X11&lt;&gt;"",Table!X11,"")</f>
        <v>4</v>
      </c>
      <c r="R10" s="165"/>
      <c r="S10" s="101">
        <f>IF(Table!Z11&lt;&gt;"",Table!Z11,"")</f>
        <v>5.0000000000000001E-3</v>
      </c>
      <c r="T10" s="148"/>
      <c r="U10" s="148"/>
      <c r="V10" s="155"/>
      <c r="W10" s="165"/>
    </row>
    <row r="11" spans="1:23" x14ac:dyDescent="0.2">
      <c r="A11" s="648" t="str">
        <f>IF(Table!A12&lt;&gt;"",Table!A12,"")</f>
        <v>יוני</v>
      </c>
      <c r="B11" s="649"/>
      <c r="C11" s="143">
        <f>IF(Table!J12&lt;&gt;"",Table!J12,"")</f>
        <v>369.42857142857144</v>
      </c>
      <c r="D11" s="399">
        <f>IF(Table!K12&lt;&gt;"",Table!K12,"")</f>
        <v>1040</v>
      </c>
      <c r="E11" s="145">
        <f>IF(Table!L12&lt;&gt;"",Table!L12,"")</f>
        <v>452.875</v>
      </c>
      <c r="F11" s="163">
        <f>IF(Table!M12&lt;&gt;"",Table!M12,"")</f>
        <v>44.924999999999997</v>
      </c>
      <c r="G11" s="159">
        <f>IF(Table!N12&lt;&gt;"",Table!N12,"")</f>
        <v>76.666666666666671</v>
      </c>
      <c r="H11" s="145">
        <f>IF(Table!O12&lt;&gt;"",Table!O12,"")</f>
        <v>186</v>
      </c>
      <c r="I11" s="200">
        <f>IF(Table!P12&lt;&gt;"",Table!P12,"")</f>
        <v>7.3</v>
      </c>
      <c r="J11" s="525">
        <f>IF(Table!Q12&lt;&gt;"",Table!Q12,"")</f>
        <v>69.2</v>
      </c>
      <c r="K11" s="467">
        <f>IF(Table!R12&lt;&gt;"",Table!R12,"")</f>
        <v>59</v>
      </c>
      <c r="L11" s="412">
        <f>IF(Table!S12&lt;&gt;"",Table!S12,"")</f>
        <v>10</v>
      </c>
      <c r="M11" s="468" t="str">
        <f>IF(Table!T12&lt;&gt;"",Table!T12,"")</f>
        <v/>
      </c>
      <c r="N11" s="441">
        <f>IF(Table!U12&lt;&gt;"",Table!U12,"")</f>
        <v>116</v>
      </c>
      <c r="O11" s="441">
        <f>IF(Table!V12&lt;&gt;"",Table!V12,"")</f>
        <v>233</v>
      </c>
      <c r="P11" s="466">
        <f>IF(Table!W12&lt;&gt;"",Table!W12,"")</f>
        <v>15</v>
      </c>
      <c r="Q11" s="526">
        <f>IF(Table!X12&lt;&gt;"",Table!X12,"")</f>
        <v>1.1000000000000001</v>
      </c>
      <c r="R11" s="165"/>
      <c r="S11" s="101">
        <f>IF(Table!Z12&lt;&gt;"",Table!Z12,"")</f>
        <v>5.0000000000000001E-3</v>
      </c>
      <c r="T11" s="148"/>
      <c r="U11" s="148"/>
      <c r="V11" s="155"/>
      <c r="W11" s="165"/>
    </row>
    <row r="12" spans="1:23" x14ac:dyDescent="0.2">
      <c r="A12" s="648" t="str">
        <f>IF(Table!A13&lt;&gt;"",Table!A13,"")</f>
        <v>יולי</v>
      </c>
      <c r="B12" s="649"/>
      <c r="C12" s="143">
        <f>IF(Table!J13&lt;&gt;"",Table!J13,"")</f>
        <v>348.66666666666669</v>
      </c>
      <c r="D12" s="399">
        <f>IF(Table!K13&lt;&gt;"",Table!K13,"")</f>
        <v>835.33333333333337</v>
      </c>
      <c r="E12" s="145">
        <f>IF(Table!L13&lt;&gt;"",Table!L13,"")</f>
        <v>355.16666666666669</v>
      </c>
      <c r="F12" s="163">
        <f>IF(Table!M13&lt;&gt;"",Table!M13,"")</f>
        <v>38.449999999999996</v>
      </c>
      <c r="G12" s="159">
        <f>IF(Table!N13&lt;&gt;"",Table!N13,"")</f>
        <v>84</v>
      </c>
      <c r="H12" s="145">
        <f>IF(Table!O13&lt;&gt;"",Table!O13,"")</f>
        <v>173</v>
      </c>
      <c r="I12" s="200">
        <f>IF(Table!P13&lt;&gt;"",Table!P13,"")</f>
        <v>5.403999999999999</v>
      </c>
      <c r="J12" s="525">
        <f>IF(Table!Q13&lt;&gt;"",Table!Q13,"")</f>
        <v>59.75</v>
      </c>
      <c r="K12" s="467">
        <f>IF(Table!R13&lt;&gt;"",Table!R13,"")</f>
        <v>67</v>
      </c>
      <c r="L12" s="412">
        <f>IF(Table!S13&lt;&gt;"",Table!S13,"")</f>
        <v>10</v>
      </c>
      <c r="M12" s="468" t="str">
        <f>IF(Table!T13&lt;&gt;"",Table!T13,"")</f>
        <v/>
      </c>
      <c r="N12" s="441">
        <f>IF(Table!U13&lt;&gt;"",Table!U13,"")</f>
        <v>111</v>
      </c>
      <c r="O12" s="441">
        <f>IF(Table!V13&lt;&gt;"",Table!V13,"")</f>
        <v>191</v>
      </c>
      <c r="P12" s="466">
        <f>IF(Table!W13&lt;&gt;"",Table!W13,"")</f>
        <v>11.1</v>
      </c>
      <c r="Q12" s="526">
        <f>IF(Table!X13&lt;&gt;"",Table!X13,"")</f>
        <v>2.7</v>
      </c>
      <c r="R12" s="165">
        <f>IF(Table!Y13&lt;&gt;"",Table!Y13,"")</f>
        <v>0</v>
      </c>
      <c r="S12" s="101">
        <f>IF(Table!Z13&lt;&gt;"",Table!Z13,"")</f>
        <v>5.0000000000000001E-3</v>
      </c>
      <c r="T12" s="148">
        <f>IF(Table!AA13&lt;&gt;"",Table!AA13,"")</f>
        <v>0</v>
      </c>
      <c r="U12" s="148">
        <f>IF(Table!AB13&lt;&gt;"",Table!AB13,"")</f>
        <v>0</v>
      </c>
      <c r="V12" s="155">
        <f>IF(Table!AC13&lt;&gt;"",Table!AC13,"")</f>
        <v>0</v>
      </c>
      <c r="W12" s="165">
        <f>IF(Table!AD13&lt;&gt;"",Table!AD13,"")</f>
        <v>0</v>
      </c>
    </row>
    <row r="13" spans="1:23" x14ac:dyDescent="0.2">
      <c r="A13" s="648" t="str">
        <f>IF(Table!A14&lt;&gt;"",Table!A14,"")</f>
        <v>אוגוסט</v>
      </c>
      <c r="B13" s="649"/>
      <c r="C13" s="143">
        <f>IF(Table!J14&lt;&gt;"",Table!J14,"")</f>
        <v>422.66666666666669</v>
      </c>
      <c r="D13" s="399">
        <f>IF(Table!K14&lt;&gt;"",Table!K14,"")</f>
        <v>872.16666666666663</v>
      </c>
      <c r="E13" s="145">
        <f>IF(Table!L14&lt;&gt;"",Table!L14,"")</f>
        <v>368.83333333333331</v>
      </c>
      <c r="F13" s="163">
        <f>IF(Table!M14&lt;&gt;"",Table!M14,"")</f>
        <v>39.083333333333336</v>
      </c>
      <c r="G13" s="159">
        <f>IF(Table!N14&lt;&gt;"",Table!N14,"")</f>
        <v>119</v>
      </c>
      <c r="H13" s="145">
        <f>IF(Table!O14&lt;&gt;"",Table!O14,"")</f>
        <v>194</v>
      </c>
      <c r="I13" s="200">
        <f>IF(Table!P14&lt;&gt;"",Table!P14,"")</f>
        <v>6.7799999999999994</v>
      </c>
      <c r="J13" s="525">
        <f>IF(Table!Q14&lt;&gt;"",Table!Q14,"")</f>
        <v>66</v>
      </c>
      <c r="K13" s="467">
        <f>IF(Table!R14&lt;&gt;"",Table!R14,"")</f>
        <v>82</v>
      </c>
      <c r="L13" s="412">
        <f>IF(Table!S14&lt;&gt;"",Table!S14,"")</f>
        <v>10</v>
      </c>
      <c r="M13" s="468" t="str">
        <f>IF(Table!T14&lt;&gt;"",Table!T14,"")</f>
        <v/>
      </c>
      <c r="N13" s="441">
        <f>IF(Table!U14&lt;&gt;"",Table!U14,"")</f>
        <v>154</v>
      </c>
      <c r="O13" s="441">
        <f>IF(Table!V14&lt;&gt;"",Table!V14,"")</f>
        <v>269</v>
      </c>
      <c r="P13" s="466">
        <f>IF(Table!W14&lt;&gt;"",Table!W14,"")</f>
        <v>8.1</v>
      </c>
      <c r="Q13" s="526">
        <f>IF(Table!X14&lt;&gt;"",Table!X14,"")</f>
        <v>7.6</v>
      </c>
      <c r="R13" s="165"/>
      <c r="S13" s="101">
        <f>IF(Table!Z14&lt;&gt;"",Table!Z14,"")</f>
        <v>0</v>
      </c>
      <c r="T13" s="148"/>
      <c r="U13" s="148"/>
      <c r="V13" s="155"/>
      <c r="W13" s="165"/>
    </row>
    <row r="14" spans="1:23" x14ac:dyDescent="0.2">
      <c r="A14" s="648" t="str">
        <f>IF(Table!A15&lt;&gt;"",Table!A15,"")</f>
        <v>ספטמבר</v>
      </c>
      <c r="B14" s="649"/>
      <c r="C14" s="143">
        <f>IF(Table!J15&lt;&gt;"",Table!J15,"")</f>
        <v>350</v>
      </c>
      <c r="D14" s="399">
        <f>IF(Table!K15&lt;&gt;"",Table!K15,"")</f>
        <v>751.14285714285711</v>
      </c>
      <c r="E14" s="145">
        <f>IF(Table!L15&lt;&gt;"",Table!L15,"")</f>
        <v>331.42857142857144</v>
      </c>
      <c r="F14" s="163">
        <f>IF(Table!M15&lt;&gt;"",Table!M15,"")</f>
        <v>36.328571428571429</v>
      </c>
      <c r="G14" s="159">
        <f>IF(Table!N15&lt;&gt;"",Table!N15,"")</f>
        <v>80.5</v>
      </c>
      <c r="H14" s="145">
        <f>IF(Table!O15&lt;&gt;"",Table!O15,"")</f>
        <v>143</v>
      </c>
      <c r="I14" s="200">
        <f>IF(Table!P15&lt;&gt;"",Table!P15,"")</f>
        <v>6.25</v>
      </c>
      <c r="J14" s="525">
        <f>IF(Table!Q15&lt;&gt;"",Table!Q15,"")</f>
        <v>56</v>
      </c>
      <c r="K14" s="467">
        <f>IF(Table!R15&lt;&gt;"",Table!R15,"")</f>
        <v>60</v>
      </c>
      <c r="L14" s="412">
        <f>IF(Table!S15&lt;&gt;"",Table!S15,"")</f>
        <v>10</v>
      </c>
      <c r="M14" s="468" t="str">
        <f>IF(Table!T15&lt;&gt;"",Table!T15,"")</f>
        <v/>
      </c>
      <c r="N14" s="441">
        <f>IF(Table!U15&lt;&gt;"",Table!U15,"")</f>
        <v>87</v>
      </c>
      <c r="O14" s="441">
        <f>IF(Table!V15&lt;&gt;"",Table!V15,"")</f>
        <v>227</v>
      </c>
      <c r="P14" s="466">
        <f>IF(Table!W15&lt;&gt;"",Table!W15,"")</f>
        <v>6.9</v>
      </c>
      <c r="Q14" s="526">
        <f>IF(Table!X15&lt;&gt;"",Table!X15,"")</f>
        <v>3.4</v>
      </c>
      <c r="R14" s="165">
        <f>IF(Table!Y15&lt;&gt;"",Table!Y15,"")</f>
        <v>0</v>
      </c>
      <c r="S14" s="101">
        <f>IF(Table!Z15&lt;&gt;"",Table!Z15,"")</f>
        <v>5.0000000000000001E-3</v>
      </c>
      <c r="T14" s="148">
        <f>IF(Table!AA15&lt;&gt;"",Table!AA15,"")</f>
        <v>0</v>
      </c>
      <c r="U14" s="148">
        <f>IF(Table!AB15&lt;&gt;"",Table!AB15,"")</f>
        <v>0</v>
      </c>
      <c r="V14" s="155">
        <f>IF(Table!AC15&lt;&gt;"",Table!AC15,"")</f>
        <v>0</v>
      </c>
      <c r="W14" s="165">
        <f>IF(Table!AD15&lt;&gt;"",Table!AD15,"")</f>
        <v>0</v>
      </c>
    </row>
    <row r="15" spans="1:23" x14ac:dyDescent="0.2">
      <c r="A15" s="648" t="str">
        <f>IF(Table!A16&lt;&gt;"",Table!A16,"")</f>
        <v>אוקטובר</v>
      </c>
      <c r="B15" s="649"/>
      <c r="C15" s="143">
        <f>IF(Table!J16&lt;&gt;"",Table!J16,"")</f>
        <v>402.5</v>
      </c>
      <c r="D15" s="399">
        <f>IF(Table!K16&lt;&gt;"",Table!K16,"")</f>
        <v>777.8</v>
      </c>
      <c r="E15" s="145">
        <f>IF(Table!L16&lt;&gt;"",Table!L16,"")</f>
        <v>379.4</v>
      </c>
      <c r="F15" s="163">
        <f>IF(Table!M16&lt;&gt;"",Table!M16,"")</f>
        <v>45.175000000000004</v>
      </c>
      <c r="G15" s="159">
        <f>IF(Table!N16&lt;&gt;"",Table!N16,"")</f>
        <v>71</v>
      </c>
      <c r="H15" s="145">
        <f>IF(Table!O16&lt;&gt;"",Table!O16,"")</f>
        <v>168</v>
      </c>
      <c r="I15" s="200">
        <f>IF(Table!P16&lt;&gt;"",Table!P16,"")</f>
        <v>6.8857499999999998</v>
      </c>
      <c r="J15" s="525">
        <f>IF(Table!Q16&lt;&gt;"",Table!Q16,"")</f>
        <v>63.377499999999998</v>
      </c>
      <c r="K15" s="467">
        <f>IF(Table!R16&lt;&gt;"",Table!R16,"")</f>
        <v>77</v>
      </c>
      <c r="L15" s="412">
        <f>IF(Table!S16&lt;&gt;"",Table!S16,"")</f>
        <v>10</v>
      </c>
      <c r="M15" s="468" t="str">
        <f>IF(Table!T16&lt;&gt;"",Table!T16,"")</f>
        <v/>
      </c>
      <c r="N15" s="441">
        <f>IF(Table!U16&lt;&gt;"",Table!U16,"")</f>
        <v>175</v>
      </c>
      <c r="O15" s="441">
        <f>IF(Table!V16&lt;&gt;"",Table!V16,"")</f>
        <v>255</v>
      </c>
      <c r="P15" s="466">
        <f>IF(Table!W16&lt;&gt;"",Table!W16,"")</f>
        <v>5.15</v>
      </c>
      <c r="Q15" s="526">
        <f>IF(Table!X16&lt;&gt;"",Table!X16,"")</f>
        <v>8.5</v>
      </c>
      <c r="R15" s="165">
        <f>IF(Table!Y16&lt;&gt;"",Table!Y16,"")</f>
        <v>0</v>
      </c>
      <c r="S15" s="101">
        <f>IF(Table!Z16&lt;&gt;"",Table!Z16,"")</f>
        <v>5.0000000000000001E-3</v>
      </c>
      <c r="T15" s="148">
        <f>IF(Table!AA16&lt;&gt;"",Table!AA16,"")</f>
        <v>0</v>
      </c>
      <c r="U15" s="148">
        <f>IF(Table!AB16&lt;&gt;"",Table!AB16,"")</f>
        <v>0</v>
      </c>
      <c r="V15" s="155">
        <f>IF(Table!AC16&lt;&gt;"",Table!AC16,"")</f>
        <v>0</v>
      </c>
      <c r="W15" s="165">
        <f>IF(Table!AD16&lt;&gt;"",Table!AD16,"")</f>
        <v>0</v>
      </c>
    </row>
    <row r="16" spans="1:23" x14ac:dyDescent="0.2">
      <c r="A16" s="648" t="str">
        <f>IF(Table!A17&lt;&gt;"",Table!A17,"")</f>
        <v>נובמבר</v>
      </c>
      <c r="B16" s="649"/>
      <c r="C16" s="143">
        <f>IF(Table!J17&lt;&gt;"",Table!J17,"")</f>
        <v>335</v>
      </c>
      <c r="D16" s="399">
        <f>IF(Table!K17&lt;&gt;"",Table!K17,"")</f>
        <v>1029.4000000000001</v>
      </c>
      <c r="E16" s="441">
        <f>IF(Table!L17&lt;&gt;"",Table!L17,"")</f>
        <v>420.2</v>
      </c>
      <c r="F16" s="163">
        <f>IF(Table!M17&lt;&gt;"",Table!M17,"")</f>
        <v>47.199999999999996</v>
      </c>
      <c r="G16" s="159">
        <f>IF(Table!N17&lt;&gt;"",Table!N17,"")</f>
        <v>65.5</v>
      </c>
      <c r="H16" s="145">
        <f>IF(Table!O17&lt;&gt;"",Table!O17,"")</f>
        <v>207</v>
      </c>
      <c r="I16" s="200">
        <f>IF(Table!P17&lt;&gt;"",Table!P17,"")</f>
        <v>10.15</v>
      </c>
      <c r="J16" s="525">
        <f>IF(Table!Q17&lt;&gt;"",Table!Q17,"")</f>
        <v>67.717500000000001</v>
      </c>
      <c r="K16" s="467">
        <f>IF(Table!R17&lt;&gt;"",Table!R17,"")</f>
        <v>110</v>
      </c>
      <c r="L16" s="412">
        <f>IF(Table!S17&lt;&gt;"",Table!S17,"")</f>
        <v>10</v>
      </c>
      <c r="M16" s="468" t="str">
        <f>IF(Table!T17&lt;&gt;"",Table!T17,"")</f>
        <v/>
      </c>
      <c r="N16" s="441">
        <f>IF(Table!U17&lt;&gt;"",Table!U17,"")</f>
        <v>187</v>
      </c>
      <c r="O16" s="441">
        <f>IF(Table!V17&lt;&gt;"",Table!V17,"")</f>
        <v>407</v>
      </c>
      <c r="P16" s="466">
        <f>IF(Table!W17&lt;&gt;"",Table!W17,"")</f>
        <v>6.2</v>
      </c>
      <c r="Q16" s="442">
        <f>IF(Table!X17&lt;&gt;"",Table!X17,"")</f>
        <v>4.8</v>
      </c>
      <c r="R16" s="165">
        <f>IF(Table!Y17&lt;&gt;"",Table!Y17,"")</f>
        <v>0</v>
      </c>
      <c r="S16" s="101">
        <f>IF(Table!Z17&lt;&gt;"",Table!Z17,"")</f>
        <v>5.0000000000000001E-3</v>
      </c>
      <c r="T16" s="148">
        <f>IF(Table!AA17&lt;&gt;"",Table!AA17,"")</f>
        <v>0</v>
      </c>
      <c r="U16" s="148">
        <f>IF(Table!AB17&lt;&gt;"",Table!AB17,"")</f>
        <v>0</v>
      </c>
      <c r="V16" s="155">
        <f>IF(Table!AC17&lt;&gt;"",Table!AC17,"")</f>
        <v>0</v>
      </c>
      <c r="W16" s="165">
        <f>IF(Table!AD17&lt;&gt;"",Table!AD17,"")</f>
        <v>0</v>
      </c>
    </row>
    <row r="17" spans="1:23" ht="13.5" thickBot="1" x14ac:dyDescent="0.25">
      <c r="A17" s="650" t="str">
        <f>IF(Table!A18&lt;&gt;"",Table!A18,"")</f>
        <v>דצמבר</v>
      </c>
      <c r="B17" s="651"/>
      <c r="C17" s="143">
        <f>IF(Table!J18&lt;&gt;"",Table!J18,"")</f>
        <v>328.25</v>
      </c>
      <c r="D17" s="399">
        <f>IF(Table!K18&lt;&gt;"",Table!K18,"")</f>
        <v>787.5</v>
      </c>
      <c r="E17" s="145">
        <f>IF(Table!L18&lt;&gt;"",Table!L18,"")</f>
        <v>308.375</v>
      </c>
      <c r="F17" s="163">
        <f>IF(Table!M18&lt;&gt;"",Table!M18,"")</f>
        <v>37.35</v>
      </c>
      <c r="G17" s="159">
        <f>IF(Table!N18&lt;&gt;"",Table!N18,"")</f>
        <v>114.33333333333333</v>
      </c>
      <c r="H17" s="145">
        <f>IF(Table!O18&lt;&gt;"",Table!O18,"")</f>
        <v>191</v>
      </c>
      <c r="I17" s="200">
        <f>IF(Table!P18&lt;&gt;"",Table!P18,"")</f>
        <v>8.0333333333333332</v>
      </c>
      <c r="J17" s="525">
        <f>IF(Table!Q18&lt;&gt;"",Table!Q18,"")</f>
        <v>60.6</v>
      </c>
      <c r="K17" s="467">
        <f>IF(Table!R18&lt;&gt;"",Table!R18,"")</f>
        <v>80</v>
      </c>
      <c r="L17" s="412">
        <f>IF(Table!S18&lt;&gt;"",Table!S18,"")</f>
        <v>10</v>
      </c>
      <c r="M17" s="468" t="str">
        <f>IF(Table!T18&lt;&gt;"",Table!T18,"")</f>
        <v/>
      </c>
      <c r="N17" s="441">
        <f>IF(Table!U18&lt;&gt;"",Table!U18,"")</f>
        <v>75</v>
      </c>
      <c r="O17" s="441">
        <f>IF(Table!V18&lt;&gt;"",Table!V18,"")</f>
        <v>331</v>
      </c>
      <c r="P17" s="466">
        <f>IF(Table!W18&lt;&gt;"",Table!W18,"")</f>
        <v>14.2</v>
      </c>
      <c r="Q17" s="442">
        <f>IF(Table!X18&lt;&gt;"",Table!X18,"")</f>
        <v>1.2</v>
      </c>
      <c r="R17" s="165">
        <f>IF(Table!Y18&lt;&gt;"",Table!Y18,"")</f>
        <v>0</v>
      </c>
      <c r="S17" s="101">
        <f>IF(Table!Z18&lt;&gt;"",Table!Z18,"")</f>
        <v>5.0000000000000001E-3</v>
      </c>
      <c r="T17" s="148">
        <f>IF(Table!AA18&lt;&gt;"",Table!AA18,"")</f>
        <v>0</v>
      </c>
      <c r="U17" s="148">
        <f>IF(Table!AB18&lt;&gt;"",Table!AB18,"")</f>
        <v>0</v>
      </c>
      <c r="V17" s="155">
        <f>IF(Table!AC18&lt;&gt;"",Table!AC18,"")</f>
        <v>0</v>
      </c>
      <c r="W17" s="165">
        <f>IF(Table!AD18&lt;&gt;"",Table!AD18,"")</f>
        <v>0</v>
      </c>
    </row>
    <row r="18" spans="1:23" x14ac:dyDescent="0.2">
      <c r="A18" s="642" t="s">
        <v>203</v>
      </c>
      <c r="B18" s="643"/>
      <c r="C18" s="103"/>
      <c r="D18" s="470"/>
      <c r="E18" s="104"/>
      <c r="F18" s="104"/>
      <c r="G18" s="104"/>
      <c r="H18" s="167"/>
      <c r="I18" s="110"/>
      <c r="J18" s="472"/>
      <c r="K18" s="443"/>
      <c r="L18" s="245"/>
      <c r="M18" s="167"/>
      <c r="N18" s="167">
        <f>MIN(N6:N17)</f>
        <v>0</v>
      </c>
      <c r="O18" s="104"/>
      <c r="P18" s="109"/>
      <c r="Q18" s="109"/>
      <c r="R18" s="109"/>
      <c r="S18" s="111"/>
      <c r="T18" s="170"/>
      <c r="U18" s="109"/>
      <c r="V18" s="109"/>
      <c r="W18" s="109"/>
    </row>
    <row r="19" spans="1:23" x14ac:dyDescent="0.2">
      <c r="A19" s="644" t="s">
        <v>3</v>
      </c>
      <c r="B19" s="645"/>
      <c r="C19" s="112">
        <f t="shared" ref="C19:W19" si="0">AVERAGE(C6:C17)</f>
        <v>348.56904761904758</v>
      </c>
      <c r="D19" s="473">
        <f t="shared" si="0"/>
        <v>841.92579365079348</v>
      </c>
      <c r="E19" s="113">
        <f t="shared" si="0"/>
        <v>355.41071428571428</v>
      </c>
      <c r="F19" s="178">
        <f t="shared" si="0"/>
        <v>41.336130952380948</v>
      </c>
      <c r="G19" s="113">
        <f t="shared" si="0"/>
        <v>91.027777777777771</v>
      </c>
      <c r="H19" s="175">
        <f t="shared" si="0"/>
        <v>201.58333333333334</v>
      </c>
      <c r="I19" s="326">
        <f t="shared" si="0"/>
        <v>6.781923611111111</v>
      </c>
      <c r="J19" s="528">
        <f t="shared" si="0"/>
        <v>64.074583333333337</v>
      </c>
      <c r="K19" s="444">
        <f t="shared" si="0"/>
        <v>69.5</v>
      </c>
      <c r="L19" s="237">
        <f t="shared" si="0"/>
        <v>10</v>
      </c>
      <c r="M19" s="175" t="e">
        <f t="shared" si="0"/>
        <v>#DIV/0!</v>
      </c>
      <c r="N19" s="175">
        <f t="shared" si="0"/>
        <v>103.91666666666667</v>
      </c>
      <c r="O19" s="113">
        <f t="shared" si="0"/>
        <v>215.41666666666666</v>
      </c>
      <c r="P19" s="118">
        <f t="shared" si="0"/>
        <v>7.6516666666666682</v>
      </c>
      <c r="Q19" s="469">
        <f t="shared" si="0"/>
        <v>2.9416666666666664</v>
      </c>
      <c r="R19" s="118">
        <f t="shared" si="0"/>
        <v>0</v>
      </c>
      <c r="S19" s="120">
        <f t="shared" si="0"/>
        <v>3.7499999999999999E-3</v>
      </c>
      <c r="T19" s="181">
        <f t="shared" si="0"/>
        <v>0</v>
      </c>
      <c r="U19" s="118">
        <f t="shared" si="0"/>
        <v>0</v>
      </c>
      <c r="V19" s="118">
        <f t="shared" si="0"/>
        <v>0</v>
      </c>
      <c r="W19" s="118">
        <f t="shared" si="0"/>
        <v>0</v>
      </c>
    </row>
    <row r="20" spans="1:23" x14ac:dyDescent="0.2">
      <c r="A20" s="644" t="s">
        <v>17</v>
      </c>
      <c r="B20" s="645"/>
      <c r="C20" s="246">
        <f t="shared" ref="C20:W20" si="1">MAX(C6:C17)</f>
        <v>422.66666666666669</v>
      </c>
      <c r="D20" s="247">
        <f t="shared" si="1"/>
        <v>1040</v>
      </c>
      <c r="E20" s="247">
        <f t="shared" si="1"/>
        <v>452.875</v>
      </c>
      <c r="F20" s="179">
        <f t="shared" si="1"/>
        <v>48.1</v>
      </c>
      <c r="G20" s="247">
        <f t="shared" si="1"/>
        <v>151.5</v>
      </c>
      <c r="H20" s="248">
        <f t="shared" si="1"/>
        <v>387</v>
      </c>
      <c r="I20" s="176">
        <f t="shared" si="1"/>
        <v>10.15</v>
      </c>
      <c r="J20" s="249">
        <f t="shared" si="1"/>
        <v>69.2</v>
      </c>
      <c r="K20" s="445">
        <f t="shared" si="1"/>
        <v>110</v>
      </c>
      <c r="L20" s="249">
        <f t="shared" si="1"/>
        <v>10</v>
      </c>
      <c r="M20" s="250">
        <f t="shared" si="1"/>
        <v>0</v>
      </c>
      <c r="N20" s="248">
        <f t="shared" si="1"/>
        <v>187</v>
      </c>
      <c r="O20" s="247">
        <f t="shared" si="1"/>
        <v>407</v>
      </c>
      <c r="P20" s="118">
        <f t="shared" si="1"/>
        <v>15</v>
      </c>
      <c r="Q20" s="118">
        <f t="shared" si="1"/>
        <v>8.5</v>
      </c>
      <c r="R20" s="118">
        <f t="shared" si="1"/>
        <v>0</v>
      </c>
      <c r="S20" s="120">
        <f t="shared" si="1"/>
        <v>5.0000000000000001E-3</v>
      </c>
      <c r="T20" s="181">
        <f t="shared" si="1"/>
        <v>0</v>
      </c>
      <c r="U20" s="118">
        <f t="shared" si="1"/>
        <v>0</v>
      </c>
      <c r="V20" s="118">
        <f t="shared" si="1"/>
        <v>0</v>
      </c>
      <c r="W20" s="118">
        <f t="shared" si="1"/>
        <v>0</v>
      </c>
    </row>
    <row r="21" spans="1:23" ht="13.5" thickBot="1" x14ac:dyDescent="0.25">
      <c r="A21" s="640" t="s">
        <v>18</v>
      </c>
      <c r="B21" s="641"/>
      <c r="C21" s="251">
        <f t="shared" ref="C21:W21" si="2">MIN(C6:C17)</f>
        <v>234.66666666666666</v>
      </c>
      <c r="D21" s="252">
        <f t="shared" si="2"/>
        <v>640</v>
      </c>
      <c r="E21" s="252">
        <f t="shared" si="2"/>
        <v>243</v>
      </c>
      <c r="F21" s="190">
        <f t="shared" si="2"/>
        <v>36.328571428571429</v>
      </c>
      <c r="G21" s="252">
        <f t="shared" si="2"/>
        <v>64</v>
      </c>
      <c r="H21" s="253">
        <f t="shared" si="2"/>
        <v>143</v>
      </c>
      <c r="I21" s="187">
        <f t="shared" si="2"/>
        <v>5</v>
      </c>
      <c r="J21" s="254">
        <f t="shared" si="2"/>
        <v>56</v>
      </c>
      <c r="K21" s="446">
        <f t="shared" si="2"/>
        <v>0</v>
      </c>
      <c r="L21" s="254">
        <f t="shared" si="2"/>
        <v>10</v>
      </c>
      <c r="M21" s="255">
        <f t="shared" si="2"/>
        <v>0</v>
      </c>
      <c r="N21" s="253">
        <f t="shared" si="2"/>
        <v>0</v>
      </c>
      <c r="O21" s="252">
        <f t="shared" si="2"/>
        <v>0</v>
      </c>
      <c r="P21" s="127">
        <f t="shared" si="2"/>
        <v>0</v>
      </c>
      <c r="Q21" s="127">
        <f t="shared" si="2"/>
        <v>0</v>
      </c>
      <c r="R21" s="127">
        <f t="shared" si="2"/>
        <v>0</v>
      </c>
      <c r="S21" s="129">
        <f t="shared" si="2"/>
        <v>0</v>
      </c>
      <c r="T21" s="192">
        <f t="shared" si="2"/>
        <v>0</v>
      </c>
      <c r="U21" s="127">
        <f t="shared" si="2"/>
        <v>0</v>
      </c>
      <c r="V21" s="127">
        <f t="shared" si="2"/>
        <v>0</v>
      </c>
      <c r="W21" s="127">
        <f t="shared" si="2"/>
        <v>0</v>
      </c>
    </row>
    <row r="22" spans="1:23" x14ac:dyDescent="0.2">
      <c r="N22" s="552">
        <f>MIN(N6:N21)</f>
        <v>0</v>
      </c>
    </row>
    <row r="23" spans="1:23" x14ac:dyDescent="0.2">
      <c r="N23" s="552">
        <f>MIN(N6:N21)</f>
        <v>0</v>
      </c>
    </row>
  </sheetData>
  <sheetProtection formatCells="0" formatColumns="0" formatRows="0"/>
  <mergeCells count="21">
    <mergeCell ref="A21:B21"/>
    <mergeCell ref="A18:B18"/>
    <mergeCell ref="A19:B19"/>
    <mergeCell ref="A20:B20"/>
    <mergeCell ref="A6:B6"/>
    <mergeCell ref="A12:B12"/>
    <mergeCell ref="A13:B13"/>
    <mergeCell ref="A14:B14"/>
    <mergeCell ref="A15:B15"/>
    <mergeCell ref="A16:B16"/>
    <mergeCell ref="A17:B17"/>
    <mergeCell ref="A7:B7"/>
    <mergeCell ref="A8:B8"/>
    <mergeCell ref="A9:B9"/>
    <mergeCell ref="A10:B10"/>
    <mergeCell ref="A11:B11"/>
    <mergeCell ref="E2:W2"/>
    <mergeCell ref="A2:D2"/>
    <mergeCell ref="A4:B5"/>
    <mergeCell ref="C3:W3"/>
    <mergeCell ref="A3:B3"/>
  </mergeCells>
  <phoneticPr fontId="6" type="noConversion"/>
  <printOptions horizontalCentered="1" verticalCentered="1"/>
  <pageMargins left="0.24" right="0.2" top="1.0236220472440944" bottom="1.1417322834645669" header="0.6" footer="0.51181102362204722"/>
  <pageSetup paperSize="9" scale="75" orientation="landscape" horizontalDpi="200" verticalDpi="200" r:id="rId1"/>
  <headerFooter alignWithMargins="0">
    <oddHeader>&amp;C&amp;20&amp;Xא.ל.ד איכות הסביבה</oddHeader>
    <oddFooter>&amp;C&amp;16&amp;Yמכון טיהור שפכים להבים</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
  <sheetViews>
    <sheetView showGridLines="0" showZeros="0" rightToLeft="1" workbookViewId="0">
      <pane xSplit="2" ySplit="5" topLeftCell="C6" activePane="bottomRight" state="frozenSplit"/>
      <selection pane="topRight" activeCell="B1" sqref="B1"/>
      <selection pane="bottomLeft" activeCell="A8" sqref="A8"/>
      <selection pane="bottomRight" activeCell="E21" sqref="E21"/>
    </sheetView>
  </sheetViews>
  <sheetFormatPr defaultColWidth="9.140625" defaultRowHeight="12.75" x14ac:dyDescent="0.2"/>
  <cols>
    <col min="1" max="1" width="7.140625" style="82" bestFit="1" customWidth="1"/>
    <col min="2" max="2" width="5.7109375" style="82" customWidth="1"/>
    <col min="3" max="3" width="8" style="82" bestFit="1" customWidth="1"/>
    <col min="4" max="4" width="7.140625" style="82" customWidth="1"/>
    <col min="5" max="5" width="13.42578125" style="82" bestFit="1" customWidth="1"/>
    <col min="6" max="6" width="13.140625" style="82" bestFit="1" customWidth="1"/>
    <col min="7" max="7" width="8.28515625" style="82" bestFit="1" customWidth="1"/>
    <col min="8" max="8" width="8.140625" style="82" bestFit="1" customWidth="1"/>
    <col min="9" max="9" width="11.7109375" style="82" bestFit="1" customWidth="1"/>
    <col min="10" max="10" width="7.7109375" style="82" customWidth="1"/>
    <col min="11" max="11" width="9.5703125" style="82" bestFit="1" customWidth="1"/>
    <col min="12" max="12" width="6.85546875" style="130" bestFit="1" customWidth="1"/>
    <col min="13" max="13" width="11.85546875" style="82" bestFit="1" customWidth="1"/>
    <col min="14" max="14" width="22" style="82" customWidth="1"/>
    <col min="15" max="16384" width="9.140625" style="82"/>
  </cols>
  <sheetData>
    <row r="1" spans="1:14" ht="13.5" thickBot="1" x14ac:dyDescent="0.25">
      <c r="L1" s="82"/>
    </row>
    <row r="2" spans="1:14" ht="13.5" thickBot="1" x14ac:dyDescent="0.25">
      <c r="A2" s="634" t="s">
        <v>238</v>
      </c>
      <c r="B2" s="622"/>
      <c r="C2" s="622"/>
      <c r="D2" s="623"/>
      <c r="E2" s="624" t="s">
        <v>161</v>
      </c>
      <c r="F2" s="625"/>
      <c r="G2" s="625"/>
      <c r="H2" s="625"/>
      <c r="I2" s="625"/>
      <c r="J2" s="625"/>
      <c r="K2" s="625"/>
      <c r="L2" s="625"/>
      <c r="M2" s="625"/>
      <c r="N2" s="626"/>
    </row>
    <row r="3" spans="1:14" ht="13.5" thickBot="1" x14ac:dyDescent="0.25">
      <c r="A3" s="655" t="s">
        <v>42</v>
      </c>
      <c r="B3" s="656"/>
      <c r="C3" s="633" t="s">
        <v>26</v>
      </c>
      <c r="D3" s="627"/>
      <c r="E3" s="627"/>
      <c r="F3" s="627"/>
      <c r="G3" s="627"/>
      <c r="H3" s="627"/>
      <c r="I3" s="627"/>
      <c r="J3" s="627"/>
      <c r="K3" s="627"/>
      <c r="L3" s="627"/>
      <c r="M3" s="627"/>
      <c r="N3" s="639"/>
    </row>
    <row r="4" spans="1:14" ht="13.5" thickBot="1" x14ac:dyDescent="0.25">
      <c r="A4" s="657" t="s">
        <v>193</v>
      </c>
      <c r="B4" s="630"/>
      <c r="C4" s="87" t="s">
        <v>5</v>
      </c>
      <c r="D4" s="88" t="s">
        <v>4</v>
      </c>
      <c r="E4" s="85" t="s">
        <v>122</v>
      </c>
      <c r="F4" s="87" t="s">
        <v>126</v>
      </c>
      <c r="G4" s="88" t="s">
        <v>137</v>
      </c>
      <c r="H4" s="85" t="s">
        <v>128</v>
      </c>
      <c r="I4" s="83" t="s">
        <v>132</v>
      </c>
      <c r="J4" s="89" t="s">
        <v>7</v>
      </c>
      <c r="K4" s="84" t="s">
        <v>85</v>
      </c>
      <c r="L4" s="89" t="s">
        <v>13</v>
      </c>
      <c r="M4" s="90" t="s">
        <v>136</v>
      </c>
      <c r="N4" s="85" t="s">
        <v>77</v>
      </c>
    </row>
    <row r="5" spans="1:14" ht="13.5" thickBot="1" x14ac:dyDescent="0.25">
      <c r="A5" s="658"/>
      <c r="B5" s="631"/>
      <c r="C5" s="87" t="s">
        <v>9</v>
      </c>
      <c r="D5" s="89" t="s">
        <v>9</v>
      </c>
      <c r="E5" s="85" t="s">
        <v>9</v>
      </c>
      <c r="F5" s="87" t="s">
        <v>9</v>
      </c>
      <c r="G5" s="88" t="s">
        <v>9</v>
      </c>
      <c r="H5" s="85" t="s">
        <v>9</v>
      </c>
      <c r="I5" s="83" t="s">
        <v>9</v>
      </c>
      <c r="J5" s="89" t="s">
        <v>9</v>
      </c>
      <c r="K5" s="84" t="s">
        <v>9</v>
      </c>
      <c r="L5" s="89" t="s">
        <v>86</v>
      </c>
      <c r="M5" s="90" t="s">
        <v>9</v>
      </c>
      <c r="N5" s="85" t="s">
        <v>9</v>
      </c>
    </row>
    <row r="6" spans="1:14" x14ac:dyDescent="0.2">
      <c r="A6" s="385" t="str">
        <f>IF(Table!A7&lt;&gt;"",Table!A7,"")</f>
        <v>ינואר</v>
      </c>
      <c r="B6" s="92"/>
      <c r="C6" s="93">
        <v>3.8</v>
      </c>
      <c r="D6" s="388">
        <v>19.25</v>
      </c>
      <c r="E6" s="95">
        <v>12</v>
      </c>
      <c r="F6" s="93">
        <v>14.333333333333334</v>
      </c>
      <c r="G6" s="94">
        <v>22.666666666666668</v>
      </c>
      <c r="H6" s="95">
        <v>2.5</v>
      </c>
      <c r="I6" s="93">
        <v>0.2</v>
      </c>
      <c r="J6" s="96">
        <v>197</v>
      </c>
      <c r="K6" s="97">
        <v>10</v>
      </c>
      <c r="L6" s="98">
        <v>1.48</v>
      </c>
      <c r="M6" s="99"/>
      <c r="N6" s="100">
        <v>28.638180513419222</v>
      </c>
    </row>
    <row r="7" spans="1:14" x14ac:dyDescent="0.2">
      <c r="A7" s="385" t="str">
        <f>IF(Table!A8&lt;&gt;"",Table!A8,"")</f>
        <v>פברואר</v>
      </c>
      <c r="B7" s="92"/>
      <c r="C7" s="93">
        <f>IF(Table!AH8&lt;&gt;"",Table!AH8,"")</f>
        <v>4.5</v>
      </c>
      <c r="D7" s="389">
        <f>IF(Table!AI8&lt;&gt;"",Table!AI8,"")</f>
        <v>22.5</v>
      </c>
      <c r="E7" s="95">
        <f>IF(Table!AJ8&lt;&gt;"",Table!AJ8,"")</f>
        <v>18.333333333333332</v>
      </c>
      <c r="F7" s="93">
        <f>IF(Table!AK8&lt;&gt;"",Table!AK8,"")</f>
        <v>17.55</v>
      </c>
      <c r="G7" s="94">
        <f>IF(Table!AL8&lt;&gt;"",Table!AL8,"")</f>
        <v>21.7</v>
      </c>
      <c r="H7" s="95">
        <f>IF(Table!AM8&lt;&gt;"",Table!AM8,"")</f>
        <v>1.3</v>
      </c>
      <c r="I7" s="93">
        <f>IF(Table!AN8&lt;&gt;"",Table!AN8,"")</f>
        <v>0.05</v>
      </c>
      <c r="J7" s="96">
        <f>IF(Table!AO8&lt;&gt;"",Table!AO8,"")</f>
        <v>199</v>
      </c>
      <c r="K7" s="97">
        <f>IF(Table!AP8&lt;&gt;"",Table!AP8,"")</f>
        <v>10</v>
      </c>
      <c r="L7" s="98">
        <f>IF(Table!AQ8&lt;&gt;"",Table!AQ8,"")</f>
        <v>1.3434999999999999</v>
      </c>
      <c r="M7" s="99" t="str">
        <f>IF(Table!AR8&lt;&gt;"",Table!AR8,"")</f>
        <v/>
      </c>
      <c r="N7" s="101"/>
    </row>
    <row r="8" spans="1:14" x14ac:dyDescent="0.2">
      <c r="A8" s="385" t="str">
        <f>IF(Table!A9&lt;&gt;"",Table!A9,"")</f>
        <v>מרץ</v>
      </c>
      <c r="B8" s="92"/>
      <c r="C8" s="93">
        <f>IF(Table!AH9&lt;&gt;"",Table!AH9,"")</f>
        <v>7.5</v>
      </c>
      <c r="D8" s="389">
        <f>IF(Table!AI9&lt;&gt;"",Table!AI9,"")</f>
        <v>34.75</v>
      </c>
      <c r="E8" s="95">
        <f>IF(Table!AJ9&lt;&gt;"",Table!AJ9,"")</f>
        <v>12.75</v>
      </c>
      <c r="F8" s="93">
        <f>IF(Table!AK9&lt;&gt;"",Table!AK9,"")</f>
        <v>22.074999999999999</v>
      </c>
      <c r="G8" s="94">
        <f>IF(Table!AL9&lt;&gt;"",Table!AL9,"")</f>
        <v>38</v>
      </c>
      <c r="H8" s="95">
        <f>IF(Table!AM9&lt;&gt;"",Table!AM9,"")</f>
        <v>4.0750000000000002</v>
      </c>
      <c r="I8" s="93">
        <f>IF(Table!AN9&lt;&gt;"",Table!AN9,"")</f>
        <v>0.05</v>
      </c>
      <c r="J8" s="96">
        <f>IF(Table!AO9&lt;&gt;"",Table!AO9,"")</f>
        <v>233</v>
      </c>
      <c r="K8" s="97">
        <f>IF(Table!AP9&lt;&gt;"",Table!AP9,"")</f>
        <v>10</v>
      </c>
      <c r="L8" s="98">
        <f>IF(Table!AQ9&lt;&gt;"",Table!AQ9,"")</f>
        <v>1.5225</v>
      </c>
      <c r="M8" s="99" t="str">
        <f>IF(Table!AR9&lt;&gt;"",Table!AR9,"")</f>
        <v/>
      </c>
      <c r="N8" s="101"/>
    </row>
    <row r="9" spans="1:14" x14ac:dyDescent="0.2">
      <c r="A9" s="385" t="str">
        <f>IF(Table!A10&lt;&gt;"",Table!A10,"")</f>
        <v>אפריל</v>
      </c>
      <c r="B9" s="92"/>
      <c r="C9" s="93">
        <f>IF(Table!AH10&lt;&gt;"",Table!AH10,"")</f>
        <v>6.4</v>
      </c>
      <c r="D9" s="389">
        <f>IF(Table!AI10&lt;&gt;"",Table!AI10,"")</f>
        <v>31.8</v>
      </c>
      <c r="E9" s="95">
        <f>IF(Table!AJ10&lt;&gt;"",Table!AJ10,"")</f>
        <v>17</v>
      </c>
      <c r="F9" s="93">
        <f>IF(Table!AK11&lt;&gt;"",Table!AK11,"")</f>
        <v>19.04</v>
      </c>
      <c r="G9" s="94">
        <f>IF(Table!AL10&lt;&gt;"",Table!AL10,"")</f>
        <v>23.04</v>
      </c>
      <c r="H9" s="95">
        <f>IF(Table!AM10&lt;&gt;"",Table!AM10,"")</f>
        <v>1.9599999999999997</v>
      </c>
      <c r="I9" s="93">
        <f>IF(Table!AN10&lt;&gt;"",Table!AN10,"")</f>
        <v>0.21</v>
      </c>
      <c r="J9" s="96">
        <f>IF(Table!AO10&lt;&gt;"",Table!AO10,"")</f>
        <v>225</v>
      </c>
      <c r="K9" s="97">
        <f>IF(Table!AP10&lt;&gt;"",Table!AP10,"")</f>
        <v>10</v>
      </c>
      <c r="L9" s="98">
        <f>IF(Table!AQ10&lt;&gt;"",Table!AQ10,"")</f>
        <v>1.3880000000000001</v>
      </c>
      <c r="M9" s="99" t="str">
        <f>IF(Table!AR10&lt;&gt;"",Table!AR10,"")</f>
        <v/>
      </c>
      <c r="N9" s="101"/>
    </row>
    <row r="10" spans="1:14" x14ac:dyDescent="0.2">
      <c r="A10" s="385" t="str">
        <f>IF(Table!A11&lt;&gt;"",Table!A11,"")</f>
        <v>מאי</v>
      </c>
      <c r="B10" s="92"/>
      <c r="C10" s="93">
        <f>IF(Table!AH11&lt;&gt;"",Table!AH11,"")</f>
        <v>4.75</v>
      </c>
      <c r="D10" s="389">
        <f>IF(Table!AI11&lt;&gt;"",Table!AI11,"")</f>
        <v>28</v>
      </c>
      <c r="E10" s="95">
        <f>IF(Table!AJ11&lt;&gt;"",Table!AJ11,"")</f>
        <v>16.399999999999999</v>
      </c>
      <c r="F10" s="93">
        <f>IF(Table!AK12&lt;&gt;"",Table!AK12,"")</f>
        <v>16.288333333333334</v>
      </c>
      <c r="G10" s="94">
        <f>IF(Table!AL11&lt;&gt;"",Table!AL11,"")</f>
        <v>30</v>
      </c>
      <c r="H10" s="95">
        <f>IF(Table!AM11&lt;&gt;"",Table!AM11,"")</f>
        <v>2.56</v>
      </c>
      <c r="I10" s="93">
        <f>IF(Table!AN11&lt;&gt;"",Table!AN11,"")</f>
        <v>0.49</v>
      </c>
      <c r="J10" s="96">
        <f>IF(Table!AO11&lt;&gt;"",Table!AO11,"")</f>
        <v>235</v>
      </c>
      <c r="K10" s="97">
        <f>IF(Table!AP11&lt;&gt;"",Table!AP11,"")</f>
        <v>10</v>
      </c>
      <c r="L10" s="98">
        <f>IF(Table!AQ11&lt;&gt;"",Table!AQ11,"")</f>
        <v>1.482</v>
      </c>
      <c r="M10" s="99" t="str">
        <f>IF(Table!AR11&lt;&gt;"",Table!AR11,"")</f>
        <v/>
      </c>
      <c r="N10" s="101"/>
    </row>
    <row r="11" spans="1:14" x14ac:dyDescent="0.2">
      <c r="A11" s="385" t="str">
        <f>IF(Table!A12&lt;&gt;"",Table!A12,"")</f>
        <v>יוני</v>
      </c>
      <c r="B11" s="92"/>
      <c r="C11" s="93">
        <f>IF(Table!AH12&lt;&gt;"",Table!AH12,"")</f>
        <v>8</v>
      </c>
      <c r="D11" s="389">
        <f>IF(Table!AI12&lt;&gt;"",Table!AI12,"")</f>
        <v>30.5</v>
      </c>
      <c r="E11" s="95">
        <f>IF(Table!AJ12&lt;&gt;"",Table!AJ12,"")</f>
        <v>16.833333333333332</v>
      </c>
      <c r="F11" s="93">
        <v>16.288333333333334</v>
      </c>
      <c r="G11" s="94">
        <f>IF(Table!AL12&lt;&gt;"",Table!AL12,"")</f>
        <v>24.833333333333332</v>
      </c>
      <c r="H11" s="95">
        <f>IF(Table!AM12&lt;&gt;"",Table!AM12,"")</f>
        <v>8.2833333333333332</v>
      </c>
      <c r="I11" s="93">
        <f>IF(Table!AN12&lt;&gt;"",Table!AN12,"")</f>
        <v>0.23</v>
      </c>
      <c r="J11" s="96">
        <f>IF(Table!AO12&lt;&gt;"",Table!AO12,"")</f>
        <v>215</v>
      </c>
      <c r="K11" s="97">
        <f>IF(Table!AP12&lt;&gt;"",Table!AP12,"")</f>
        <v>10</v>
      </c>
      <c r="L11" s="98">
        <f>IF(Table!AQ12&lt;&gt;"",Table!AQ12,"")</f>
        <v>1.448</v>
      </c>
      <c r="M11" s="99" t="str">
        <f>IF(Table!AR12&lt;&gt;"",Table!AR12,"")</f>
        <v/>
      </c>
      <c r="N11" s="101"/>
    </row>
    <row r="12" spans="1:14" x14ac:dyDescent="0.2">
      <c r="A12" s="385" t="str">
        <f>IF(Table!A13&lt;&gt;"",Table!A13,"")</f>
        <v>יולי</v>
      </c>
      <c r="B12" s="92"/>
      <c r="C12" s="93">
        <f>IF(Table!AH13&lt;&gt;"",Table!AH13,"")</f>
        <v>6</v>
      </c>
      <c r="D12" s="389">
        <f>IF(Table!AI13&lt;&gt;"",Table!AI13,"")</f>
        <v>24.2</v>
      </c>
      <c r="E12" s="95">
        <f>IF(Table!AJ13&lt;&gt;"",Table!AJ13,"")</f>
        <v>15.6</v>
      </c>
      <c r="F12" s="102">
        <f>IF(Table!AK13&lt;&gt;"",Table!AK13,"")</f>
        <v>22.68</v>
      </c>
      <c r="G12" s="94">
        <f>IF(Table!AL13&lt;&gt;"",Table!AL13,"")</f>
        <v>23.64</v>
      </c>
      <c r="H12" s="95">
        <f>IF(Table!AM13&lt;&gt;"",Table!AM13,"")</f>
        <v>3.94</v>
      </c>
      <c r="I12" s="93">
        <f>IF(Table!AN13&lt;&gt;"",Table!AN13,"")</f>
        <v>0.09</v>
      </c>
      <c r="J12" s="96">
        <f>IF(Table!AO13&lt;&gt;"",Table!AO13,"")</f>
        <v>199</v>
      </c>
      <c r="K12" s="97">
        <f>IF(Table!AP13&lt;&gt;"",Table!AP13,"")</f>
        <v>10</v>
      </c>
      <c r="L12" s="98">
        <f>IF(Table!AQ13&lt;&gt;"",Table!AQ13,"")</f>
        <v>1.468</v>
      </c>
      <c r="M12" s="99" t="str">
        <f>IF(Table!AR13&lt;&gt;"",Table!AR13,"")</f>
        <v/>
      </c>
      <c r="N12" s="101">
        <f>IF(Table!AS13&lt;&gt;"",Table!AS13,"")</f>
        <v>0</v>
      </c>
    </row>
    <row r="13" spans="1:14" x14ac:dyDescent="0.2">
      <c r="A13" s="385" t="str">
        <f>IF(Table!A14&lt;&gt;"",Table!A14,"")</f>
        <v>אוגוסט</v>
      </c>
      <c r="B13" s="92"/>
      <c r="C13" s="93">
        <f>IF(Table!AH14&lt;&gt;"",Table!AH14,"")</f>
        <v>7.56</v>
      </c>
      <c r="D13" s="389">
        <f>IF(Table!AI14&lt;&gt;"",Table!AI14,"")</f>
        <v>20.8</v>
      </c>
      <c r="E13" s="95">
        <f>IF(Table!AJ14&lt;&gt;"",Table!AJ14,"")</f>
        <v>16.2</v>
      </c>
      <c r="F13" s="93">
        <f>IF(Table!AK14&lt;&gt;"",Table!AK14,"")</f>
        <v>9.1059999999999999</v>
      </c>
      <c r="G13" s="94">
        <f>IF(Table!AL14&lt;&gt;"",Table!AL14,"")</f>
        <v>18.880000000000003</v>
      </c>
      <c r="H13" s="95">
        <f>IF(Table!AM14&lt;&gt;"",Table!AM14,"")</f>
        <v>3.3200000000000003</v>
      </c>
      <c r="I13" s="93">
        <f>IF(Table!AN14&lt;&gt;"",Table!AN14,"")</f>
        <v>0.05</v>
      </c>
      <c r="J13" s="96">
        <f>IF(Table!AO14&lt;&gt;"",Table!AO14,"")</f>
        <v>199</v>
      </c>
      <c r="K13" s="97">
        <f>IF(Table!AP14&lt;&gt;"",Table!AP14,"")</f>
        <v>10</v>
      </c>
      <c r="L13" s="98">
        <f>IF(Table!AQ14&lt;&gt;"",Table!AQ14,"")</f>
        <v>1.238</v>
      </c>
      <c r="M13" s="99" t="str">
        <f>IF(Table!AR14&lt;&gt;"",Table!AR14,"")</f>
        <v/>
      </c>
      <c r="N13" s="101"/>
    </row>
    <row r="14" spans="1:14" x14ac:dyDescent="0.2">
      <c r="A14" s="385" t="str">
        <f>IF(Table!A15&lt;&gt;"",Table!A15,"")</f>
        <v>ספטמבר</v>
      </c>
      <c r="B14" s="92"/>
      <c r="C14" s="93">
        <f>IF(Table!AH15&lt;&gt;"",Table!AH15,"")</f>
        <v>6.333333333333333</v>
      </c>
      <c r="D14" s="389">
        <f>IF(Table!AI15&lt;&gt;"",Table!AI15,"")</f>
        <v>18.666666666666668</v>
      </c>
      <c r="E14" s="95">
        <f>IF(Table!AJ15&lt;&gt;"",Table!AJ15,"")</f>
        <v>13.166666666666666</v>
      </c>
      <c r="F14" s="93">
        <f>IF(Table!AK15&lt;&gt;"",Table!AK15,"")</f>
        <v>13.233333333333334</v>
      </c>
      <c r="G14" s="94">
        <f>IF(Table!AL15&lt;&gt;"",Table!AL15,"")</f>
        <v>17.166666666666668</v>
      </c>
      <c r="H14" s="95">
        <f>IF(Table!AM15&lt;&gt;"",Table!AM15,"")</f>
        <v>4.1833333333333327</v>
      </c>
      <c r="I14" s="93">
        <f>IF(Table!AN15&lt;&gt;"",Table!AN15,"")</f>
        <v>0.05</v>
      </c>
      <c r="J14" s="96">
        <f>IF(Table!AO15&lt;&gt;"",Table!AO15,"")</f>
        <v>183</v>
      </c>
      <c r="K14" s="97">
        <f>IF(Table!AP15&lt;&gt;"",Table!AP15,"")</f>
        <v>10</v>
      </c>
      <c r="L14" s="98">
        <f>IF(Table!AQ15&lt;&gt;"",Table!AQ15,"")</f>
        <v>1.1966666666666665</v>
      </c>
      <c r="M14" s="99" t="str">
        <f>IF(Table!AR15&lt;&gt;"",Table!AR15,"")</f>
        <v/>
      </c>
      <c r="N14" s="101">
        <f>IF(Table!AS15&lt;&gt;"",Table!AS15,"")</f>
        <v>0</v>
      </c>
    </row>
    <row r="15" spans="1:14" x14ac:dyDescent="0.2">
      <c r="A15" s="385" t="str">
        <f>IF(Table!A16&lt;&gt;"",Table!A16,"")</f>
        <v>אוקטובר</v>
      </c>
      <c r="B15" s="92"/>
      <c r="C15" s="93">
        <f>IF(Table!AH16&lt;&gt;"",Table!AH16,"")</f>
        <v>5</v>
      </c>
      <c r="D15" s="389">
        <f>IF(Table!AI16&lt;&gt;"",Table!AI16,"")</f>
        <v>27.25</v>
      </c>
      <c r="E15" s="95">
        <f>IF(Table!AJ16&lt;&gt;"",Table!AJ16,"")</f>
        <v>9.75</v>
      </c>
      <c r="F15" s="93">
        <f>IF(Table!AK16&lt;&gt;"",Table!AK16,"")</f>
        <v>11.9</v>
      </c>
      <c r="G15" s="94">
        <f>IF(Table!AL16&lt;&gt;"",Table!AL16,"")</f>
        <v>17.75</v>
      </c>
      <c r="H15" s="95">
        <f>IF(Table!AM16&lt;&gt;"",Table!AM16,"")</f>
        <v>10.8</v>
      </c>
      <c r="I15" s="93">
        <f>IF(Table!AN16&lt;&gt;"",Table!AN16,"")</f>
        <v>0.05</v>
      </c>
      <c r="J15" s="96">
        <f>IF(Table!AO16&lt;&gt;"",Table!AO16,"")</f>
        <v>163</v>
      </c>
      <c r="K15" s="97">
        <f>IF(Table!AP16&lt;&gt;"",Table!AP16,"")</f>
        <v>10</v>
      </c>
      <c r="L15" s="98">
        <f>IF(Table!AQ16&lt;&gt;"",Table!AQ16,"")</f>
        <v>0.9</v>
      </c>
      <c r="M15" s="99" t="str">
        <f>IF(Table!AR16&lt;&gt;"",Table!AR16,"")</f>
        <v/>
      </c>
      <c r="N15" s="101"/>
    </row>
    <row r="16" spans="1:14" x14ac:dyDescent="0.2">
      <c r="A16" s="385" t="str">
        <f>IF(Table!A17&lt;&gt;"",Table!A17,"")</f>
        <v>נובמבר</v>
      </c>
      <c r="B16" s="92"/>
      <c r="C16" s="93">
        <f>IF(Table!AH17&lt;&gt;"",Table!AH17,"")</f>
        <v>5</v>
      </c>
      <c r="D16" s="389">
        <f>IF(Table!AI17&lt;&gt;"",Table!AI17,"")</f>
        <v>36</v>
      </c>
      <c r="E16" s="95">
        <f>IF(Table!AJ17&lt;&gt;"",Table!AJ17,"")</f>
        <v>10.425000000000001</v>
      </c>
      <c r="F16" s="93">
        <f>IF(Table!AK17&lt;&gt;"",Table!AK17,"")</f>
        <v>18.933333333333334</v>
      </c>
      <c r="G16" s="94">
        <f>IF(Table!AL17&lt;&gt;"",Table!AL17,"")</f>
        <v>23</v>
      </c>
      <c r="H16" s="95">
        <f>IF(Table!AM17&lt;&gt;"",Table!AM17,"")</f>
        <v>6.2333333333333334</v>
      </c>
      <c r="I16" s="93">
        <f>IF(Table!AN17&lt;&gt;"",Table!AN17,"")</f>
        <v>0.05</v>
      </c>
      <c r="J16" s="96">
        <f>IF(Table!AO17&lt;&gt;"",Table!AO17,"")</f>
        <v>196</v>
      </c>
      <c r="K16" s="97">
        <f>IF(Table!AP17&lt;&gt;"",Table!AP17,"")</f>
        <v>10</v>
      </c>
      <c r="L16" s="98">
        <f>IF(Table!AQ17&lt;&gt;"",Table!AQ17,"")</f>
        <v>1.41</v>
      </c>
      <c r="M16" s="99" t="str">
        <f>IF(Table!AR17&lt;&gt;"",Table!AR17,"")</f>
        <v/>
      </c>
      <c r="N16" s="101">
        <f>IF(Table!AS17&lt;&gt;"",Table!AS17,"")</f>
        <v>0</v>
      </c>
    </row>
    <row r="17" spans="1:14" ht="13.5" thickBot="1" x14ac:dyDescent="0.25">
      <c r="A17" s="385" t="str">
        <f>IF(Table!A18&lt;&gt;"",Table!A18,"")</f>
        <v>דצמבר</v>
      </c>
      <c r="B17" s="92"/>
      <c r="C17" s="93">
        <f>IF(Table!AH18&lt;&gt;"",Table!AH18,"")</f>
        <v>4.5</v>
      </c>
      <c r="D17" s="389">
        <f>IF(Table!AI18&lt;&gt;"",Table!AI18,"")</f>
        <v>27.333333333333332</v>
      </c>
      <c r="E17" s="95">
        <f>IF(Table!AJ18&lt;&gt;"",Table!AJ18,"")</f>
        <v>10.5</v>
      </c>
      <c r="F17" s="93">
        <f>IF(Table!AK18&lt;&gt;"",Table!AK18,"")</f>
        <v>19.55</v>
      </c>
      <c r="G17" s="94">
        <f>IF(Table!AL18&lt;&gt;"",Table!AL18,"")</f>
        <v>24.95</v>
      </c>
      <c r="H17" s="95">
        <f>IF(Table!AM18&lt;&gt;"",Table!AM18,"")</f>
        <v>1.2259999999999998</v>
      </c>
      <c r="I17" s="93">
        <f>IF(Table!AN18&lt;&gt;"",Table!AN18,"")</f>
        <v>0.17</v>
      </c>
      <c r="J17" s="96">
        <f>IF(Table!AO18&lt;&gt;"",Table!AO18,"")</f>
        <v>204</v>
      </c>
      <c r="K17" s="97">
        <f>IF(Table!AP18&lt;&gt;"",Table!AP18,"")</f>
        <v>10</v>
      </c>
      <c r="L17" s="98">
        <f>IF(Table!AQ18&lt;&gt;"",Table!AQ18,"")</f>
        <v>1.59</v>
      </c>
      <c r="M17" s="99" t="str">
        <f>IF(Table!AR18&lt;&gt;"",Table!AR18,"")</f>
        <v/>
      </c>
      <c r="N17" s="101">
        <f>IF(Table!AS18&lt;&gt;"",Table!AS18,"")</f>
        <v>0</v>
      </c>
    </row>
    <row r="18" spans="1:14" x14ac:dyDescent="0.2">
      <c r="A18" s="642" t="s">
        <v>203</v>
      </c>
      <c r="B18" s="653"/>
      <c r="C18" s="103"/>
      <c r="D18" s="104"/>
      <c r="E18" s="105"/>
      <c r="F18" s="106"/>
      <c r="G18" s="107"/>
      <c r="H18" s="108"/>
      <c r="I18" s="106"/>
      <c r="J18" s="104"/>
      <c r="K18" s="104"/>
      <c r="L18" s="109"/>
      <c r="M18" s="110"/>
      <c r="N18" s="111"/>
    </row>
    <row r="19" spans="1:14" x14ac:dyDescent="0.2">
      <c r="A19" s="644" t="s">
        <v>3</v>
      </c>
      <c r="B19" s="654"/>
      <c r="C19" s="112">
        <f t="shared" ref="C19:L19" si="0">AVERAGE(C6:C17)</f>
        <v>5.7786111111111111</v>
      </c>
      <c r="D19" s="113">
        <f t="shared" si="0"/>
        <v>26.754166666666666</v>
      </c>
      <c r="E19" s="114">
        <f t="shared" si="0"/>
        <v>14.079861111111109</v>
      </c>
      <c r="F19" s="115">
        <f t="shared" si="0"/>
        <v>16.748138888888892</v>
      </c>
      <c r="G19" s="116">
        <f t="shared" si="0"/>
        <v>23.802222222222216</v>
      </c>
      <c r="H19" s="117">
        <f t="shared" si="0"/>
        <v>4.1984166666666667</v>
      </c>
      <c r="I19" s="115">
        <f t="shared" si="0"/>
        <v>0.14083333333333334</v>
      </c>
      <c r="J19" s="113">
        <f t="shared" si="0"/>
        <v>204</v>
      </c>
      <c r="K19" s="113">
        <f t="shared" si="0"/>
        <v>10</v>
      </c>
      <c r="L19" s="118">
        <f t="shared" si="0"/>
        <v>1.3722222222222225</v>
      </c>
      <c r="M19" s="119"/>
      <c r="N19" s="120">
        <f>AVERAGE(N6:N17)</f>
        <v>5.727636102683844</v>
      </c>
    </row>
    <row r="20" spans="1:14" x14ac:dyDescent="0.2">
      <c r="A20" s="644" t="s">
        <v>17</v>
      </c>
      <c r="B20" s="654"/>
      <c r="C20" s="112">
        <f t="shared" ref="C20:L20" si="1">MAX(C6:C17)</f>
        <v>8</v>
      </c>
      <c r="D20" s="113">
        <f t="shared" si="1"/>
        <v>36</v>
      </c>
      <c r="E20" s="114">
        <f t="shared" si="1"/>
        <v>18.333333333333332</v>
      </c>
      <c r="F20" s="115">
        <f t="shared" si="1"/>
        <v>22.68</v>
      </c>
      <c r="G20" s="116">
        <f t="shared" si="1"/>
        <v>38</v>
      </c>
      <c r="H20" s="117">
        <f t="shared" si="1"/>
        <v>10.8</v>
      </c>
      <c r="I20" s="115">
        <f t="shared" si="1"/>
        <v>0.49</v>
      </c>
      <c r="J20" s="113">
        <f t="shared" si="1"/>
        <v>235</v>
      </c>
      <c r="K20" s="113">
        <f t="shared" si="1"/>
        <v>10</v>
      </c>
      <c r="L20" s="118">
        <f t="shared" si="1"/>
        <v>1.59</v>
      </c>
      <c r="M20" s="119"/>
      <c r="N20" s="120">
        <f>MAX(N6:N17)</f>
        <v>28.638180513419222</v>
      </c>
    </row>
    <row r="21" spans="1:14" ht="13.5" thickBot="1" x14ac:dyDescent="0.25">
      <c r="A21" s="640" t="s">
        <v>18</v>
      </c>
      <c r="B21" s="652"/>
      <c r="C21" s="121">
        <f t="shared" ref="C21:L21" si="2">MIN(C6:C17)</f>
        <v>3.8</v>
      </c>
      <c r="D21" s="122">
        <f t="shared" si="2"/>
        <v>18.666666666666668</v>
      </c>
      <c r="E21" s="123">
        <f t="shared" si="2"/>
        <v>9.75</v>
      </c>
      <c r="F21" s="124">
        <f t="shared" si="2"/>
        <v>9.1059999999999999</v>
      </c>
      <c r="G21" s="125">
        <f t="shared" si="2"/>
        <v>17.166666666666668</v>
      </c>
      <c r="H21" s="126">
        <f t="shared" si="2"/>
        <v>1.2259999999999998</v>
      </c>
      <c r="I21" s="124">
        <f t="shared" si="2"/>
        <v>0.05</v>
      </c>
      <c r="J21" s="122">
        <f t="shared" si="2"/>
        <v>163</v>
      </c>
      <c r="K21" s="122">
        <f t="shared" si="2"/>
        <v>10</v>
      </c>
      <c r="L21" s="127">
        <f t="shared" si="2"/>
        <v>0.9</v>
      </c>
      <c r="M21" s="128"/>
      <c r="N21" s="129">
        <f>MIN(N6:N17)</f>
        <v>0</v>
      </c>
    </row>
  </sheetData>
  <mergeCells count="10">
    <mergeCell ref="E2:N2"/>
    <mergeCell ref="A2:D2"/>
    <mergeCell ref="C3:N3"/>
    <mergeCell ref="A4:A5"/>
    <mergeCell ref="B4:B5"/>
    <mergeCell ref="A21:B21"/>
    <mergeCell ref="A18:B18"/>
    <mergeCell ref="A19:B19"/>
    <mergeCell ref="A20:B20"/>
    <mergeCell ref="A3:B3"/>
  </mergeCells>
  <phoneticPr fontId="6" type="noConversion"/>
  <printOptions horizontalCentered="1" verticalCentered="1"/>
  <pageMargins left="0.51181102362204722" right="0.59055118110236227" top="0.73" bottom="0.67" header="0.28999999999999998" footer="0.39"/>
  <pageSetup paperSize="9" scale="90" orientation="landscape" horizontalDpi="200" verticalDpi="200" r:id="rId1"/>
  <headerFooter alignWithMargins="0">
    <oddHeader>&amp;C&amp;20&amp;Yא.ל.ד איכות הסביבה</oddHeader>
    <oddFooter>&amp;C&amp;16&amp;Yמכון טיהור שפכים להבים</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1"/>
  <sheetViews>
    <sheetView showGridLines="0" showZeros="0" rightToLeft="1" workbookViewId="0">
      <pane xSplit="2" ySplit="5" topLeftCell="C6" activePane="bottomRight" state="frozenSplit"/>
      <selection pane="topRight" activeCell="B1" sqref="B1"/>
      <selection pane="bottomLeft" activeCell="A8" sqref="A8"/>
      <selection pane="bottomRight" activeCell="B14" sqref="B14"/>
    </sheetView>
  </sheetViews>
  <sheetFormatPr defaultColWidth="9.140625" defaultRowHeight="12.75" x14ac:dyDescent="0.2"/>
  <cols>
    <col min="1" max="1" width="7.140625" style="82" bestFit="1" customWidth="1"/>
    <col min="2" max="2" width="42.42578125" style="82" customWidth="1"/>
    <col min="3" max="3" width="10.5703125" style="82" customWidth="1"/>
    <col min="4" max="6" width="8" style="82" bestFit="1" customWidth="1"/>
    <col min="7" max="7" width="7.140625" style="82" customWidth="1"/>
    <col min="8" max="8" width="6.140625" style="82" customWidth="1"/>
    <col min="9" max="9" width="9" style="82" customWidth="1"/>
    <col min="10" max="10" width="7.7109375" style="82" customWidth="1"/>
    <col min="11" max="11" width="9.5703125" style="82" bestFit="1" customWidth="1"/>
    <col min="12" max="12" width="7.28515625" style="130" bestFit="1" customWidth="1"/>
    <col min="13" max="13" width="7.28515625" style="82" customWidth="1"/>
    <col min="14" max="15" width="7.28515625" style="82" bestFit="1" customWidth="1"/>
    <col min="16" max="16" width="9.140625" style="82"/>
    <col min="17" max="17" width="8.85546875" style="82" customWidth="1"/>
    <col min="18" max="18" width="7.85546875" style="82" bestFit="1" customWidth="1"/>
    <col min="19" max="19" width="7.140625" style="82" customWidth="1"/>
    <col min="20" max="20" width="9.140625" style="82"/>
    <col min="21" max="21" width="7.85546875" style="82" customWidth="1"/>
    <col min="22" max="22" width="8.7109375" style="82" customWidth="1"/>
    <col min="23" max="23" width="9" style="82" bestFit="1" customWidth="1"/>
    <col min="24" max="24" width="8.5703125" style="82" customWidth="1"/>
    <col min="25" max="25" width="9" style="82" bestFit="1" customWidth="1"/>
    <col min="26" max="16384" width="9.140625" style="82"/>
  </cols>
  <sheetData>
    <row r="1" spans="1:25" ht="13.5" thickBot="1" x14ac:dyDescent="0.25">
      <c r="L1" s="82"/>
    </row>
    <row r="2" spans="1:25" ht="13.5" thickBot="1" x14ac:dyDescent="0.25">
      <c r="A2" s="634" t="s">
        <v>238</v>
      </c>
      <c r="B2" s="622"/>
      <c r="C2" s="622"/>
      <c r="D2" s="623"/>
      <c r="E2" s="624" t="s">
        <v>162</v>
      </c>
      <c r="F2" s="625"/>
      <c r="G2" s="625"/>
      <c r="H2" s="625"/>
      <c r="I2" s="625"/>
      <c r="J2" s="625"/>
      <c r="K2" s="625"/>
      <c r="L2" s="625"/>
      <c r="M2" s="625"/>
      <c r="N2" s="625"/>
      <c r="O2" s="625"/>
      <c r="P2" s="625"/>
      <c r="Q2" s="625"/>
      <c r="R2" s="625"/>
      <c r="S2" s="625"/>
      <c r="T2" s="625"/>
      <c r="U2" s="625"/>
      <c r="V2" s="625"/>
      <c r="W2" s="625"/>
      <c r="X2" s="625"/>
      <c r="Y2" s="626"/>
    </row>
    <row r="3" spans="1:25" ht="26.25" thickBot="1" x14ac:dyDescent="0.25">
      <c r="A3" s="633" t="s">
        <v>42</v>
      </c>
      <c r="B3" s="627"/>
      <c r="C3" s="633" t="s">
        <v>26</v>
      </c>
      <c r="D3" s="627"/>
      <c r="E3" s="627"/>
      <c r="F3" s="627"/>
      <c r="G3" s="627"/>
      <c r="H3" s="627"/>
      <c r="I3" s="627"/>
      <c r="J3" s="627"/>
      <c r="K3" s="627"/>
      <c r="L3" s="627"/>
      <c r="M3" s="627"/>
      <c r="N3" s="627"/>
      <c r="O3" s="627"/>
      <c r="P3" s="627"/>
      <c r="Q3" s="627"/>
      <c r="R3" s="627"/>
      <c r="S3" s="627"/>
      <c r="T3" s="627"/>
      <c r="U3" s="627"/>
      <c r="V3" s="387" t="s">
        <v>198</v>
      </c>
      <c r="W3" s="131" t="s">
        <v>82</v>
      </c>
      <c r="X3" s="387" t="s">
        <v>198</v>
      </c>
      <c r="Y3" s="131" t="s">
        <v>82</v>
      </c>
    </row>
    <row r="4" spans="1:25" ht="26.25" thickBot="1" x14ac:dyDescent="0.25">
      <c r="A4" s="657" t="s">
        <v>1</v>
      </c>
      <c r="B4" s="630" t="s">
        <v>16</v>
      </c>
      <c r="C4" s="133" t="s">
        <v>88</v>
      </c>
      <c r="D4" s="88" t="s">
        <v>5</v>
      </c>
      <c r="E4" s="134" t="s">
        <v>4</v>
      </c>
      <c r="F4" s="135" t="s">
        <v>122</v>
      </c>
      <c r="G4" s="133" t="s">
        <v>137</v>
      </c>
      <c r="H4" s="134" t="s">
        <v>129</v>
      </c>
      <c r="I4" s="134" t="s">
        <v>126</v>
      </c>
      <c r="J4" s="134" t="s">
        <v>138</v>
      </c>
      <c r="K4" s="134" t="s">
        <v>139</v>
      </c>
      <c r="L4" s="136" t="s">
        <v>140</v>
      </c>
      <c r="M4" s="86" t="s">
        <v>7</v>
      </c>
      <c r="N4" s="133" t="s">
        <v>128</v>
      </c>
      <c r="O4" s="137" t="s">
        <v>90</v>
      </c>
      <c r="P4" s="135" t="s">
        <v>13</v>
      </c>
      <c r="Q4" s="91" t="s">
        <v>85</v>
      </c>
      <c r="R4" s="138" t="s">
        <v>132</v>
      </c>
      <c r="S4" s="139" t="s">
        <v>77</v>
      </c>
      <c r="T4" s="140" t="s">
        <v>91</v>
      </c>
      <c r="U4" s="139" t="s">
        <v>92</v>
      </c>
      <c r="V4" s="386" t="s">
        <v>194</v>
      </c>
      <c r="W4" s="386" t="s">
        <v>195</v>
      </c>
      <c r="X4" s="386" t="s">
        <v>196</v>
      </c>
      <c r="Y4" s="386" t="s">
        <v>197</v>
      </c>
    </row>
    <row r="5" spans="1:25" ht="13.5" thickBot="1" x14ac:dyDescent="0.25">
      <c r="A5" s="658"/>
      <c r="B5" s="631"/>
      <c r="C5" s="87" t="s">
        <v>93</v>
      </c>
      <c r="D5" s="88" t="s">
        <v>9</v>
      </c>
      <c r="E5" s="89" t="s">
        <v>9</v>
      </c>
      <c r="F5" s="85" t="s">
        <v>9</v>
      </c>
      <c r="G5" s="87" t="s">
        <v>9</v>
      </c>
      <c r="H5" s="89" t="s">
        <v>9</v>
      </c>
      <c r="I5" s="89" t="s">
        <v>9</v>
      </c>
      <c r="J5" s="89" t="s">
        <v>9</v>
      </c>
      <c r="K5" s="89" t="s">
        <v>9</v>
      </c>
      <c r="L5" s="88" t="s">
        <v>9</v>
      </c>
      <c r="M5" s="84" t="s">
        <v>9</v>
      </c>
      <c r="N5" s="87" t="s">
        <v>9</v>
      </c>
      <c r="O5" s="141" t="s">
        <v>9</v>
      </c>
      <c r="P5" s="90" t="s">
        <v>86</v>
      </c>
      <c r="Q5" s="142" t="s">
        <v>9</v>
      </c>
      <c r="R5" s="83" t="s">
        <v>9</v>
      </c>
      <c r="S5" s="89" t="s">
        <v>9</v>
      </c>
      <c r="T5" s="84" t="s">
        <v>9</v>
      </c>
      <c r="U5" s="89" t="s">
        <v>9</v>
      </c>
      <c r="V5" s="142" t="s">
        <v>51</v>
      </c>
      <c r="W5" s="142" t="s">
        <v>51</v>
      </c>
      <c r="X5" s="142" t="s">
        <v>51</v>
      </c>
      <c r="Y5" s="85" t="s">
        <v>51</v>
      </c>
    </row>
    <row r="6" spans="1:25" x14ac:dyDescent="0.2">
      <c r="A6" s="385" t="str">
        <f>IF(Table!A7&lt;&gt;"",Table!A7,"")</f>
        <v>ינואר</v>
      </c>
      <c r="B6" s="92" t="str">
        <f>IF(Table!A7&lt;&gt;"",Table!A7,"")</f>
        <v>ינואר</v>
      </c>
      <c r="C6" s="143">
        <v>1</v>
      </c>
      <c r="D6" s="144">
        <v>4.333333333333333</v>
      </c>
      <c r="E6" s="145">
        <v>24.333333333333332</v>
      </c>
      <c r="F6" s="146">
        <v>5</v>
      </c>
      <c r="G6" s="147">
        <v>19</v>
      </c>
      <c r="H6" s="148">
        <v>16.27</v>
      </c>
      <c r="I6" s="148">
        <v>13.7</v>
      </c>
      <c r="J6" s="148">
        <v>0.39250000000000002</v>
      </c>
      <c r="K6" s="98">
        <v>2.8250000000000002</v>
      </c>
      <c r="L6" s="149">
        <v>139.25</v>
      </c>
      <c r="M6" s="150">
        <v>219.25</v>
      </c>
      <c r="N6" s="151">
        <v>4.24</v>
      </c>
      <c r="O6" s="152">
        <v>0.2</v>
      </c>
      <c r="P6" s="153">
        <v>1.4824999999999999</v>
      </c>
      <c r="Q6" s="154">
        <v>0.3</v>
      </c>
      <c r="R6" s="151">
        <v>0</v>
      </c>
      <c r="S6" s="155">
        <v>0</v>
      </c>
      <c r="T6" s="156">
        <v>0</v>
      </c>
      <c r="U6" s="155">
        <v>0</v>
      </c>
      <c r="V6" s="157">
        <v>1.1954545454545455</v>
      </c>
      <c r="W6" s="157">
        <v>1.2054545454545453</v>
      </c>
      <c r="X6" s="157">
        <v>1.5</v>
      </c>
      <c r="Y6" s="158">
        <v>1.4786363636363637</v>
      </c>
    </row>
    <row r="7" spans="1:25" x14ac:dyDescent="0.2">
      <c r="A7" s="385" t="str">
        <f>IF(Table!A8&lt;&gt;"",Table!A8,"")</f>
        <v>פברואר</v>
      </c>
      <c r="B7" s="92" t="str">
        <f>IF(Table!A8&lt;&gt;"",Table!A8,"")</f>
        <v>פברואר</v>
      </c>
      <c r="C7" s="143">
        <f>IF(Table!AT8&lt;&gt;"",Table!AT8,"")</f>
        <v>1</v>
      </c>
      <c r="D7" s="159">
        <f>IF(Table!AU8&lt;&gt;"",Table!AU8,"")</f>
        <v>5</v>
      </c>
      <c r="E7" s="145">
        <f>IF(Table!AV8&lt;&gt;"",Table!AV8,"")</f>
        <v>32.142857142857146</v>
      </c>
      <c r="F7" s="146">
        <f>IF(Table!AW8&lt;&gt;"",Table!AW8,"")</f>
        <v>7.7142857142857144</v>
      </c>
      <c r="G7" s="147">
        <f>IF(Table!AX8&lt;&gt;"",Table!AX8,"")</f>
        <v>12.799999999999999</v>
      </c>
      <c r="H7" s="148">
        <f>IF(Table!AY8&lt;&gt;"",Table!AY8,"")</f>
        <v>8.6466666666666665</v>
      </c>
      <c r="I7" s="148">
        <f>IF(Table!AZ8&lt;&gt;"",Table!AZ8,"")</f>
        <v>6.7833333333333341</v>
      </c>
      <c r="J7" s="148">
        <f>IF(Table!BA8&lt;&gt;"",Table!BA8,"")</f>
        <v>0.42733333333333334</v>
      </c>
      <c r="K7" s="98">
        <f>IF(Table!BB8&lt;&gt;"",Table!BB8,"")</f>
        <v>3.7266666666666666</v>
      </c>
      <c r="L7" s="149">
        <f>IF(Table!BC8&lt;&gt;"",Table!BC8,"")</f>
        <v>136</v>
      </c>
      <c r="M7" s="150">
        <f>IF(Table!BD8&lt;&gt;"",Table!BD8,"")</f>
        <v>216.66666666666666</v>
      </c>
      <c r="N7" s="151">
        <f>IF(Table!BE8&lt;&gt;"",Table!BE8,"")</f>
        <v>2.37</v>
      </c>
      <c r="O7" s="160">
        <f>IF(Table!BF8&lt;&gt;"",Table!BF8,"")</f>
        <v>0.2</v>
      </c>
      <c r="P7" s="153">
        <f>IF(Table!BG8&lt;&gt;"",Table!BG8,"")</f>
        <v>1.4033333333333333</v>
      </c>
      <c r="Q7" s="154">
        <f>IF(Table!BH8&lt;&gt;"",Table!BH8,"")</f>
        <v>0</v>
      </c>
      <c r="R7" s="151"/>
      <c r="S7" s="155"/>
      <c r="T7" s="156"/>
      <c r="U7" s="155"/>
      <c r="V7" s="157">
        <f>IF(Table!BN8&lt;&gt;"",Table!BN8,"")</f>
        <v>1.3394999999999999</v>
      </c>
      <c r="W7" s="157">
        <f>IF(Table!BO8&lt;&gt;"",Table!BO8,"")</f>
        <v>1.3534999999999999</v>
      </c>
      <c r="X7" s="157">
        <f>IF(Table!BP8&lt;&gt;"",Table!BP8,"")</f>
        <v>1.472</v>
      </c>
      <c r="Y7" s="158">
        <f>IF(Table!BQ8&lt;&gt;"",Table!BQ8,"")</f>
        <v>1.4555</v>
      </c>
    </row>
    <row r="8" spans="1:25" x14ac:dyDescent="0.2">
      <c r="A8" s="385" t="str">
        <f>IF(Table!A9&lt;&gt;"",Table!A9,"")</f>
        <v>מרץ</v>
      </c>
      <c r="B8" s="92" t="str">
        <f>IF(Table!A9&lt;&gt;"",Table!A9,"")</f>
        <v>מרץ</v>
      </c>
      <c r="C8" s="143">
        <f>IF(Table!AT9&lt;&gt;"",Table!AT9,"")</f>
        <v>1</v>
      </c>
      <c r="D8" s="159">
        <f>IF(Table!AU9&lt;&gt;"",Table!AU9,"")</f>
        <v>5.4444444444444446</v>
      </c>
      <c r="E8" s="145">
        <f>IF(Table!AV9&lt;&gt;"",Table!AV9,"")</f>
        <v>36.888888888888886</v>
      </c>
      <c r="F8" s="146">
        <f>IF(Table!AW9&lt;&gt;"",Table!AW9,"")</f>
        <v>7.1111111111111107</v>
      </c>
      <c r="G8" s="147">
        <f>IF(Table!AX9&lt;&gt;"",Table!AX9,"")</f>
        <v>19.96</v>
      </c>
      <c r="H8" s="148">
        <f>IF(Table!AY9&lt;&gt;"",Table!AY9,"")</f>
        <v>17.89</v>
      </c>
      <c r="I8" s="148">
        <f>IF(Table!AZ9&lt;&gt;"",Table!AZ9,"")</f>
        <v>12.656000000000001</v>
      </c>
      <c r="J8" s="148">
        <f>IF(Table!BA9&lt;&gt;"",Table!BA9,"")</f>
        <v>0.54399999999999993</v>
      </c>
      <c r="K8" s="98">
        <f>IF(Table!BB9&lt;&gt;"",Table!BB9,"")</f>
        <v>0</v>
      </c>
      <c r="L8" s="149">
        <f>IF(Table!BC9&lt;&gt;"",Table!BC9,"")</f>
        <v>127.52000000000001</v>
      </c>
      <c r="M8" s="150">
        <f>IF(Table!BD9&lt;&gt;"",Table!BD9,"")</f>
        <v>204.6</v>
      </c>
      <c r="N8" s="151">
        <f>IF(Table!BE9&lt;&gt;"",Table!BE9,"")</f>
        <v>3.3849999999999998</v>
      </c>
      <c r="O8" s="160">
        <f>IF(Table!BF9&lt;&gt;"",Table!BF9,"")</f>
        <v>0.20000000000000004</v>
      </c>
      <c r="P8" s="153">
        <f>IF(Table!BG9&lt;&gt;"",Table!BG9,"")</f>
        <v>1.2933333333333332</v>
      </c>
      <c r="Q8" s="154">
        <f>IF(Table!BH9&lt;&gt;"",Table!BH9,"")</f>
        <v>0.3</v>
      </c>
      <c r="R8" s="151"/>
      <c r="S8" s="155"/>
      <c r="T8" s="156"/>
      <c r="U8" s="155"/>
      <c r="V8" s="157">
        <f>IF(Table!BN9&lt;&gt;"",Table!BN9,"")</f>
        <v>1.6413636363636366</v>
      </c>
      <c r="W8" s="157">
        <f>IF(Table!BO9&lt;&gt;"",Table!BO9,"")</f>
        <v>1.6731818181818179</v>
      </c>
      <c r="X8" s="157">
        <f>IF(Table!BP9&lt;&gt;"",Table!BP9,"")</f>
        <v>1.5118181818181817</v>
      </c>
      <c r="Y8" s="158">
        <f>IF(Table!BQ9&lt;&gt;"",Table!BQ9,"")</f>
        <v>1.489090909090909</v>
      </c>
    </row>
    <row r="9" spans="1:25" x14ac:dyDescent="0.2">
      <c r="A9" s="385" t="str">
        <f>IF(Table!A10&lt;&gt;"",Table!A10,"")</f>
        <v>אפריל</v>
      </c>
      <c r="B9" s="92" t="str">
        <f>IF(Table!A10&lt;&gt;"",Table!A10,"")</f>
        <v>אפריל</v>
      </c>
      <c r="C9" s="143">
        <f>IF(Table!AT10&lt;&gt;"",Table!AT10,"")</f>
        <v>1</v>
      </c>
      <c r="D9" s="159">
        <f>IF(Table!AU10&lt;&gt;"",Table!AU10,"")</f>
        <v>5.2222222222222223</v>
      </c>
      <c r="E9" s="145">
        <f>IF(Table!AV10&lt;&gt;"",Table!AV10,"")</f>
        <v>38.555555555555557</v>
      </c>
      <c r="F9" s="146">
        <f>IF(Table!AW10&lt;&gt;"",Table!AW10,"")</f>
        <v>5.8888888888888893</v>
      </c>
      <c r="G9" s="147">
        <f>IF(Table!AX10&lt;&gt;"",Table!AX10,"")</f>
        <v>16.125</v>
      </c>
      <c r="H9" s="148">
        <f>IF(Table!AY10&lt;&gt;"",Table!AY10,"")</f>
        <v>14.139999999999999</v>
      </c>
      <c r="I9" s="148">
        <f>IF(Table!AZ10&lt;&gt;"",Table!AZ10,"")</f>
        <v>8.6125000000000007</v>
      </c>
      <c r="J9" s="148">
        <f>IF(Table!BA10&lt;&gt;"",Table!BA10,"")</f>
        <v>0.25</v>
      </c>
      <c r="K9" s="98">
        <f>IF(Table!BB10&lt;&gt;"",Table!BB10,"")</f>
        <v>1.7349999999999999</v>
      </c>
      <c r="L9" s="149">
        <f>IF(Table!BC10&lt;&gt;"",Table!BC10,"")</f>
        <v>145</v>
      </c>
      <c r="M9" s="150">
        <f>IF(Table!BD10&lt;&gt;"",Table!BD10,"")</f>
        <v>228</v>
      </c>
      <c r="N9" s="151">
        <f>IF(Table!BE10&lt;&gt;"",Table!BE10,"")</f>
        <v>5.3524999999999991</v>
      </c>
      <c r="O9" s="160">
        <f>IF(Table!BF10&lt;&gt;"",Table!BF10,"")</f>
        <v>0.2</v>
      </c>
      <c r="P9" s="153">
        <f>IF(Table!BG10&lt;&gt;"",Table!BG10,"")</f>
        <v>1.48</v>
      </c>
      <c r="Q9" s="154">
        <f>IF(Table!BH10&lt;&gt;"",Table!BH10,"")</f>
        <v>0.3</v>
      </c>
      <c r="R9" s="151">
        <f>IF(Table!BI10&lt;&gt;"",Table!BI10,"")</f>
        <v>0</v>
      </c>
      <c r="S9" s="155">
        <f>IF(Table!BJ10&lt;&gt;"",Table!BJ10,"")</f>
        <v>0</v>
      </c>
      <c r="T9" s="156">
        <f>IF(Table!BK10&lt;&gt;"",Table!BK10,"")</f>
        <v>0</v>
      </c>
      <c r="U9" s="155">
        <f>IF(Table!BL10&lt;&gt;"",Table!BL10,"")</f>
        <v>0</v>
      </c>
      <c r="V9" s="157">
        <f>IF(Table!BN10&lt;&gt;"",Table!BN10,"")</f>
        <v>1.7091666666666665</v>
      </c>
      <c r="W9" s="157">
        <f>IF(Table!BO10&lt;&gt;"",Table!BO10,"")</f>
        <v>1.718333333333333</v>
      </c>
      <c r="X9" s="157">
        <f>IF(Table!BP10&lt;&gt;"",Table!BP10,"")</f>
        <v>1.5720833333333335</v>
      </c>
      <c r="Y9" s="158">
        <f>IF(Table!BQ10&lt;&gt;"",Table!BQ10,"")</f>
        <v>1.5495833333333338</v>
      </c>
    </row>
    <row r="10" spans="1:25" x14ac:dyDescent="0.2">
      <c r="A10" s="385" t="str">
        <f>IF(Table!A11&lt;&gt;"",Table!A11,"")</f>
        <v>מאי</v>
      </c>
      <c r="B10" s="92" t="str">
        <f>IF(Table!A11&lt;&gt;"",Table!A11,"")</f>
        <v>מאי</v>
      </c>
      <c r="C10" s="143">
        <f>IF(Table!AT11&lt;&gt;"",Table!AT11,"")</f>
        <v>1</v>
      </c>
      <c r="D10" s="159">
        <f>IF(Table!AU11&lt;&gt;"",Table!AU11,"")</f>
        <v>5</v>
      </c>
      <c r="E10" s="145">
        <f>IF(Table!AV11&lt;&gt;"",Table!AV11,"")</f>
        <v>33.75</v>
      </c>
      <c r="F10" s="146">
        <f>IF(Table!AW11&lt;&gt;"",Table!AW11,"")</f>
        <v>8.625</v>
      </c>
      <c r="G10" s="147">
        <f>IF(Table!AX11&lt;&gt;"",Table!AX11,"")</f>
        <v>14.275</v>
      </c>
      <c r="H10" s="148">
        <f>IF(Table!AY11&lt;&gt;"",Table!AY11,"")</f>
        <v>12.774999999999999</v>
      </c>
      <c r="I10" s="148">
        <f>IF(Table!AZ11&lt;&gt;"",Table!AZ11,"")</f>
        <v>8.8550000000000004</v>
      </c>
      <c r="J10" s="148">
        <f>IF(Table!BA11&lt;&gt;"",Table!BA11,"")</f>
        <v>0.26500000000000001</v>
      </c>
      <c r="K10" s="98">
        <f>IF(Table!BB11&lt;&gt;"",Table!BB11,"")</f>
        <v>1.2349999999999999</v>
      </c>
      <c r="L10" s="149">
        <f>IF(Table!BC11&lt;&gt;"",Table!BC11,"")</f>
        <v>136.5</v>
      </c>
      <c r="M10" s="150">
        <f>IF(Table!BD11&lt;&gt;"",Table!BD11,"")</f>
        <v>220.5</v>
      </c>
      <c r="N10" s="151">
        <f>IF(Table!BE11&lt;&gt;"",Table!BE11,"")</f>
        <v>2.9749999999999996</v>
      </c>
      <c r="O10" s="160">
        <f>IF(Table!BF11&lt;&gt;"",Table!BF11,"")</f>
        <v>0.20150000000000001</v>
      </c>
      <c r="P10" s="153">
        <f>IF(Table!BG11&lt;&gt;"",Table!BG11,"")</f>
        <v>1.4449999999999998</v>
      </c>
      <c r="Q10" s="154">
        <f>IF(Table!BH11&lt;&gt;"",Table!BH11,"")</f>
        <v>0.3</v>
      </c>
      <c r="R10" s="151"/>
      <c r="S10" s="155"/>
      <c r="T10" s="156"/>
      <c r="U10" s="155"/>
      <c r="V10" s="157">
        <f>IF(Table!BN11&lt;&gt;"",Table!BN11,"")</f>
        <v>1.7223809523809526</v>
      </c>
      <c r="W10" s="157">
        <f>IF(Table!BO11&lt;&gt;"",Table!BO11,"")</f>
        <v>1.7323809523809526</v>
      </c>
      <c r="X10" s="157">
        <f>IF(Table!BP11&lt;&gt;"",Table!BP11,"")</f>
        <v>1.5861904761904759</v>
      </c>
      <c r="Y10" s="158">
        <f>IF(Table!BQ11&lt;&gt;"",Table!BQ11,"")</f>
        <v>1.5652380952380949</v>
      </c>
    </row>
    <row r="11" spans="1:25" x14ac:dyDescent="0.2">
      <c r="A11" s="385" t="str">
        <f>IF(Table!A12&lt;&gt;"",Table!A12,"")</f>
        <v>יוני</v>
      </c>
      <c r="B11" s="92" t="str">
        <f>IF(Table!A12&lt;&gt;"",Table!A12,"")</f>
        <v>יוני</v>
      </c>
      <c r="C11" s="143">
        <f>IF(Table!AT12&lt;&gt;"",Table!AT12,"")</f>
        <v>1.6666666666666667</v>
      </c>
      <c r="D11" s="159">
        <f>IF(Table!AU12&lt;&gt;"",Table!AU12,"")</f>
        <v>5</v>
      </c>
      <c r="E11" s="145">
        <f>IF(Table!AV12&lt;&gt;"",Table!AV12,"")</f>
        <v>40.333333333333336</v>
      </c>
      <c r="F11" s="146">
        <f>IF(Table!AW12&lt;&gt;"",Table!AW12,"")</f>
        <v>8.3333333333333339</v>
      </c>
      <c r="G11" s="147">
        <f>IF(Table!AX12&lt;&gt;"",Table!AX12,"")</f>
        <v>15.64</v>
      </c>
      <c r="H11" s="148">
        <f>IF(Table!AY12&lt;&gt;"",Table!AY12,"")</f>
        <v>13.996</v>
      </c>
      <c r="I11" s="148">
        <f>IF(Table!AZ12&lt;&gt;"",Table!AZ12,"")</f>
        <v>11.026000000000002</v>
      </c>
      <c r="J11" s="148">
        <f>IF(Table!BA12&lt;&gt;"",Table!BA12,"")</f>
        <v>0.17299999999999999</v>
      </c>
      <c r="K11" s="98">
        <f>IF(Table!BB12&lt;&gt;"",Table!BB12,"")</f>
        <v>1.474</v>
      </c>
      <c r="L11" s="149">
        <f>IF(Table!BC12&lt;&gt;"",Table!BC12,"")</f>
        <v>144.4</v>
      </c>
      <c r="M11" s="150">
        <f>IF(Table!BD12&lt;&gt;"",Table!BD12,"")</f>
        <v>236.8</v>
      </c>
      <c r="N11" s="151">
        <f>IF(Table!BE12&lt;&gt;"",Table!BE12,"")</f>
        <v>3.8400000000000003</v>
      </c>
      <c r="O11" s="160">
        <f>IF(Table!BF12&lt;&gt;"",Table!BF12,"")</f>
        <v>0.20166666666666666</v>
      </c>
      <c r="P11" s="153">
        <f>IF(Table!BG12&lt;&gt;"",Table!BG12,"")</f>
        <v>1.5400000000000003</v>
      </c>
      <c r="Q11" s="154">
        <f>IF(Table!BH12&lt;&gt;"",Table!BH12,"")</f>
        <v>0.3</v>
      </c>
      <c r="R11" s="151"/>
      <c r="S11" s="155"/>
      <c r="T11" s="156"/>
      <c r="U11" s="155"/>
      <c r="V11" s="157">
        <f>IF(Table!BN12&lt;&gt;"",Table!BN12,"")</f>
        <v>1.7563636363636363</v>
      </c>
      <c r="W11" s="157">
        <f>IF(Table!BO12&lt;&gt;"",Table!BO12,"")</f>
        <v>1.7663636363636366</v>
      </c>
      <c r="X11" s="157">
        <f>IF(Table!BP12&lt;&gt;"",Table!BP12,"")</f>
        <v>1.5754545454545452</v>
      </c>
      <c r="Y11" s="158">
        <f>IF(Table!BQ12&lt;&gt;"",Table!BQ12,"")</f>
        <v>1.5618181818181818</v>
      </c>
    </row>
    <row r="12" spans="1:25" x14ac:dyDescent="0.2">
      <c r="A12" s="385" t="str">
        <f>IF(Table!A13&lt;&gt;"",Table!A13,"")</f>
        <v>יולי</v>
      </c>
      <c r="B12" s="92" t="str">
        <f>IF(Table!A13&lt;&gt;"",Table!A13,"")</f>
        <v>יולי</v>
      </c>
      <c r="C12" s="143">
        <f>IF(Table!AT13&lt;&gt;"",Table!AT13,"")</f>
        <v>1</v>
      </c>
      <c r="D12" s="159">
        <f>IF(Table!AU13&lt;&gt;"",Table!AU13,"")</f>
        <v>6.5</v>
      </c>
      <c r="E12" s="145">
        <f>IF(Table!AV13&lt;&gt;"",Table!AV13,"")</f>
        <v>47.25</v>
      </c>
      <c r="F12" s="161">
        <f>IF(Table!AW13&lt;&gt;"",Table!AW13,"")</f>
        <v>13.875</v>
      </c>
      <c r="G12" s="147">
        <f>IF(Table!AX13&lt;&gt;"",Table!AX13,"")</f>
        <v>24.5</v>
      </c>
      <c r="H12" s="148">
        <f>IF(Table!AY13&lt;&gt;"",Table!AY13,"")</f>
        <v>23.784999999999997</v>
      </c>
      <c r="I12" s="148">
        <f>IF(Table!AZ13&lt;&gt;"",Table!AZ13,"")</f>
        <v>17.625</v>
      </c>
      <c r="J12" s="148">
        <f>IF(Table!BA13&lt;&gt;"",Table!BA13,"")</f>
        <v>0.21425</v>
      </c>
      <c r="K12" s="98">
        <f>IF(Table!BB13&lt;&gt;"",Table!BB13,"")</f>
        <v>0.56200000000000006</v>
      </c>
      <c r="L12" s="149">
        <f>IF(Table!BC13&lt;&gt;"",Table!BC13,"")</f>
        <v>145.25</v>
      </c>
      <c r="M12" s="150">
        <f>IF(Table!BD13&lt;&gt;"",Table!BD13,"")</f>
        <v>246.4</v>
      </c>
      <c r="N12" s="151">
        <f>IF(Table!BE13&lt;&gt;"",Table!BE13,"")</f>
        <v>1.8399999999999999</v>
      </c>
      <c r="O12" s="160">
        <f>IF(Table!BF13&lt;&gt;"",Table!BF13,"")</f>
        <v>0.2</v>
      </c>
      <c r="P12" s="153">
        <f>IF(Table!BG13&lt;&gt;"",Table!BG13,"")</f>
        <v>1.5525</v>
      </c>
      <c r="Q12" s="154">
        <f>IF(Table!BH13&lt;&gt;"",Table!BH13,"")</f>
        <v>0.3</v>
      </c>
      <c r="R12" s="151">
        <f>IF(Table!BI13&lt;&gt;"",Table!BI13,"")</f>
        <v>0</v>
      </c>
      <c r="S12" s="155">
        <f>IF(Table!BJ13&lt;&gt;"",Table!BJ13,"")</f>
        <v>0</v>
      </c>
      <c r="T12" s="156">
        <f>IF(Table!BK13&lt;&gt;"",Table!BK13,"")</f>
        <v>0</v>
      </c>
      <c r="U12" s="155">
        <f>IF(Table!BL13&lt;&gt;"",Table!BL13,"")</f>
        <v>0</v>
      </c>
      <c r="V12" s="157">
        <f>IF(Table!BN13&lt;&gt;"",Table!BN13,"")</f>
        <v>1.6921739130434781</v>
      </c>
      <c r="W12" s="157">
        <f>IF(Table!BO13&lt;&gt;"",Table!BO13,"")</f>
        <v>1.7069565217391303</v>
      </c>
      <c r="X12" s="157">
        <f>IF(Table!BP13&lt;&gt;"",Table!BP13,"")</f>
        <v>1.496086956521739</v>
      </c>
      <c r="Y12" s="158">
        <f>IF(Table!BQ13&lt;&gt;"",Table!BQ13,"")</f>
        <v>1.4804347826086959</v>
      </c>
    </row>
    <row r="13" spans="1:25" x14ac:dyDescent="0.2">
      <c r="A13" s="385" t="str">
        <f>IF(Table!A14&lt;&gt;"",Table!A14,"")</f>
        <v>אוגוסט</v>
      </c>
      <c r="B13" s="92" t="str">
        <f>IF(Table!A14&lt;&gt;"",Table!A14,"")</f>
        <v>אוגוסט</v>
      </c>
      <c r="C13" s="143">
        <f>IF(Table!AT14&lt;&gt;"",Table!AT14,"")</f>
        <v>1</v>
      </c>
      <c r="D13" s="159">
        <f>IF(Table!AU14&lt;&gt;"",Table!AU14,"")</f>
        <v>5</v>
      </c>
      <c r="E13" s="145">
        <f>IF(Table!AV14&lt;&gt;"",Table!AV14,"")</f>
        <v>36.125</v>
      </c>
      <c r="F13" s="146">
        <f>IF(Table!AW14&lt;&gt;"",Table!AW14,"")</f>
        <v>7.375</v>
      </c>
      <c r="G13" s="147">
        <f>IF(Table!AX14&lt;&gt;"",Table!AX14,"")</f>
        <v>15.25</v>
      </c>
      <c r="H13" s="148">
        <f>IF(Table!AY14&lt;&gt;"",Table!AY14,"")</f>
        <v>8.7125000000000004</v>
      </c>
      <c r="I13" s="148">
        <f>IF(Table!AZ14&lt;&gt;"",Table!AZ14,"")</f>
        <v>6</v>
      </c>
      <c r="J13" s="148">
        <f>IF(Table!BA14&lt;&gt;"",Table!BA14,"")</f>
        <v>1.1052500000000001</v>
      </c>
      <c r="K13" s="98">
        <f>IF(Table!BB14&lt;&gt;"",Table!BB14,"")</f>
        <v>5.4317500000000001</v>
      </c>
      <c r="L13" s="149">
        <f>IF(Table!BC14&lt;&gt;"",Table!BC14,"")</f>
        <v>117</v>
      </c>
      <c r="M13" s="150">
        <f>IF(Table!BD14&lt;&gt;"",Table!BD14,"")</f>
        <v>232.86750000000001</v>
      </c>
      <c r="N13" s="151">
        <f>IF(Table!BE14&lt;&gt;"",Table!BE14,"")</f>
        <v>8.19</v>
      </c>
      <c r="O13" s="160">
        <f>IF(Table!BF14&lt;&gt;"",Table!BF14,"")</f>
        <v>0.2</v>
      </c>
      <c r="P13" s="153">
        <f>IF(Table!BG14&lt;&gt;"",Table!BG14,"")</f>
        <v>1.3824999999999998</v>
      </c>
      <c r="Q13" s="154">
        <f>IF(Table!BH14&lt;&gt;"",Table!BH14,"")</f>
        <v>0.3</v>
      </c>
      <c r="R13" s="151"/>
      <c r="S13" s="155"/>
      <c r="T13" s="156"/>
      <c r="U13" s="155"/>
      <c r="V13" s="157">
        <f>IF(Table!BN14&lt;&gt;"",Table!BN14,"")</f>
        <v>1.6743478260869566</v>
      </c>
      <c r="W13" s="157">
        <f>IF(Table!BO14&lt;&gt;"",Table!BO14,"")</f>
        <v>1.6386956521739129</v>
      </c>
      <c r="X13" s="157">
        <f>IF(Table!BP14&lt;&gt;"",Table!BP14,"")</f>
        <v>1.4630434782608701</v>
      </c>
      <c r="Y13" s="158">
        <f>IF(Table!BQ14&lt;&gt;"",Table!BQ14,"")</f>
        <v>1.42</v>
      </c>
    </row>
    <row r="14" spans="1:25" x14ac:dyDescent="0.2">
      <c r="A14" s="385" t="str">
        <f>IF(Table!A15&lt;&gt;"",Table!A15,"")</f>
        <v>ספטמבר</v>
      </c>
      <c r="B14" s="92" t="str">
        <f>IF(Table!A15&lt;&gt;"",Table!A15,"")</f>
        <v>ספטמבר</v>
      </c>
      <c r="C14" s="143">
        <f>IF(Table!AT15&lt;&gt;"",Table!AT15,"")</f>
        <v>1</v>
      </c>
      <c r="D14" s="159">
        <f>IF(Table!AU15&lt;&gt;"",Table!AU15,"")</f>
        <v>5</v>
      </c>
      <c r="E14" s="145">
        <f>IF(Table!AV15&lt;&gt;"",Table!AV15,"")</f>
        <v>42.75</v>
      </c>
      <c r="F14" s="146">
        <f>IF(Table!AW15&lt;&gt;"",Table!AW15,"")</f>
        <v>9.75</v>
      </c>
      <c r="G14" s="147">
        <f>IF(Table!AX15&lt;&gt;"",Table!AX15,"")</f>
        <v>28.119999999999997</v>
      </c>
      <c r="H14" s="148">
        <f>IF(Table!AY15&lt;&gt;"",Table!AY15,"")</f>
        <v>25.198</v>
      </c>
      <c r="I14" s="148">
        <f>IF(Table!AZ15&lt;&gt;"",Table!AZ15,"")</f>
        <v>22.66</v>
      </c>
      <c r="J14" s="148">
        <f>IF(Table!BA15&lt;&gt;"",Table!BA15,"")</f>
        <v>0.4880000000000001</v>
      </c>
      <c r="K14" s="98">
        <f>IF(Table!BB15&lt;&gt;"",Table!BB15,"")</f>
        <v>2.4342000000000001</v>
      </c>
      <c r="L14" s="149">
        <f>IF(Table!BC15&lt;&gt;"",Table!BC15,"")</f>
        <v>125.4</v>
      </c>
      <c r="M14" s="150">
        <f>IF(Table!BD15&lt;&gt;"",Table!BD15,"")</f>
        <v>195.2</v>
      </c>
      <c r="N14" s="151">
        <f>IF(Table!BE15&lt;&gt;"",Table!BE15,"")</f>
        <v>5.3533333333333344</v>
      </c>
      <c r="O14" s="160">
        <f>IF(Table!BF15&lt;&gt;"",Table!BF15,"")</f>
        <v>0.28266666666666668</v>
      </c>
      <c r="P14" s="153">
        <f>IF(Table!BG15&lt;&gt;"",Table!BG15,"")</f>
        <v>1.395</v>
      </c>
      <c r="Q14" s="154">
        <f>IF(Table!BH15&lt;&gt;"",Table!BH15,"")</f>
        <v>0.3</v>
      </c>
      <c r="R14" s="151">
        <f>IF(Table!BI15&lt;&gt;"",Table!BI15,"")</f>
        <v>0</v>
      </c>
      <c r="S14" s="155">
        <f>IF(Table!BJ15&lt;&gt;"",Table!BJ15,"")</f>
        <v>0</v>
      </c>
      <c r="T14" s="156">
        <f>IF(Table!BK15&lt;&gt;"",Table!BK15,"")</f>
        <v>0</v>
      </c>
      <c r="U14" s="155">
        <f>IF(Table!BL15&lt;&gt;"",Table!BL15,"")</f>
        <v>0</v>
      </c>
      <c r="V14" s="157">
        <f>IF(Table!BN15&lt;&gt;"",Table!BN15,"")</f>
        <v>1.579</v>
      </c>
      <c r="W14" s="157">
        <f>IF(Table!BO15&lt;&gt;"",Table!BO15,"")</f>
        <v>1.5690000000000002</v>
      </c>
      <c r="X14" s="157">
        <f>IF(Table!BP15&lt;&gt;"",Table!BP15,"")</f>
        <v>1.4929999999999999</v>
      </c>
      <c r="Y14" s="158">
        <f>IF(Table!BQ15&lt;&gt;"",Table!BQ15,"")</f>
        <v>1.4549999999999996</v>
      </c>
    </row>
    <row r="15" spans="1:25" x14ac:dyDescent="0.2">
      <c r="A15" s="385" t="str">
        <f>IF(Table!A16&lt;&gt;"",Table!A16,"")</f>
        <v>אוקטובר</v>
      </c>
      <c r="B15" s="92" t="str">
        <f>IF(Table!A16&lt;&gt;"",Table!A16,"")</f>
        <v>אוקטובר</v>
      </c>
      <c r="C15" s="143">
        <f>IF(Table!AT16&lt;&gt;"",Table!AT16,"")</f>
        <v>1E-3</v>
      </c>
      <c r="D15" s="159">
        <f>IF(Table!AU16&lt;&gt;"",Table!AU16,"")</f>
        <v>5.166666666666667</v>
      </c>
      <c r="E15" s="145">
        <f>IF(Table!AV16&lt;&gt;"",Table!AV16,"")</f>
        <v>32</v>
      </c>
      <c r="F15" s="146">
        <f>IF(Table!AW16&lt;&gt;"",Table!AW16,"")</f>
        <v>5.333333333333333</v>
      </c>
      <c r="G15" s="147">
        <f>IF(Table!AX16&lt;&gt;"",Table!AX16,"")</f>
        <v>28.5</v>
      </c>
      <c r="H15" s="148">
        <f>IF(Table!AY16&lt;&gt;"",Table!AY16,"")</f>
        <v>25.305</v>
      </c>
      <c r="I15" s="148">
        <f>IF(Table!AZ16&lt;&gt;"",Table!AZ16,"")</f>
        <v>17.05</v>
      </c>
      <c r="J15" s="148">
        <f>IF(Table!BA16&lt;&gt;"",Table!BA16,"")</f>
        <v>0.46499999999999997</v>
      </c>
      <c r="K15" s="98">
        <f>IF(Table!BB16&lt;&gt;"",Table!BB16,"")</f>
        <v>2.73</v>
      </c>
      <c r="L15" s="149">
        <f>IF(Table!BC16&lt;&gt;"",Table!BC16,"")</f>
        <v>126.25</v>
      </c>
      <c r="M15" s="150">
        <f>IF(Table!BD16&lt;&gt;"",Table!BD16,"")</f>
        <v>196.5</v>
      </c>
      <c r="N15" s="151">
        <f>IF(Table!BE16&lt;&gt;"",Table!BE16,"")</f>
        <v>8.5500000000000007</v>
      </c>
      <c r="O15" s="160">
        <f>IF(Table!BF16&lt;&gt;"",Table!BF16,"")</f>
        <v>0.25600000000000001</v>
      </c>
      <c r="P15" s="153">
        <f>IF(Table!BG16&lt;&gt;"",Table!BG16,"")</f>
        <v>1.37</v>
      </c>
      <c r="Q15" s="154">
        <f>IF(Table!BH16&lt;&gt;"",Table!BH16,"")</f>
        <v>0.3</v>
      </c>
      <c r="R15" s="151">
        <f>IF(Table!BI16&lt;&gt;"",Table!BI16,"")</f>
        <v>0</v>
      </c>
      <c r="S15" s="155">
        <f>IF(Table!BJ16&lt;&gt;"",Table!BJ16,"")</f>
        <v>0</v>
      </c>
      <c r="T15" s="156">
        <f>IF(Table!BK16&lt;&gt;"",Table!BK16,"")</f>
        <v>0</v>
      </c>
      <c r="U15" s="155">
        <f>IF(Table!BL16&lt;&gt;"",Table!BL16,"")</f>
        <v>0</v>
      </c>
      <c r="V15" s="157">
        <f>IF(Table!BN16&lt;&gt;"",Table!BN16,"")</f>
        <v>1.7931578947368421</v>
      </c>
      <c r="W15" s="157">
        <f>IF(Table!BO16&lt;&gt;"",Table!BO16,"")</f>
        <v>1.7978947368421054</v>
      </c>
      <c r="X15" s="157">
        <f>IF(Table!BP16&lt;&gt;"",Table!BP16,"")</f>
        <v>1.554736842105263</v>
      </c>
      <c r="Y15" s="158">
        <f>IF(Table!BQ16&lt;&gt;"",Table!BQ16,"")</f>
        <v>1.5415789473684214</v>
      </c>
    </row>
    <row r="16" spans="1:25" x14ac:dyDescent="0.2">
      <c r="A16" s="385" t="str">
        <f>IF(Table!A17&lt;&gt;"",Table!A17,"")</f>
        <v>נובמבר</v>
      </c>
      <c r="B16" s="92" t="str">
        <f>IF(Table!A17&lt;&gt;"",Table!A17,"")</f>
        <v>נובמבר</v>
      </c>
      <c r="C16" s="143">
        <f>IF(Table!AT17&lt;&gt;"",Table!AT17,"")</f>
        <v>1E-3</v>
      </c>
      <c r="D16" s="159">
        <f>IF(Table!AU17&lt;&gt;"",Table!AU17,"")</f>
        <v>5</v>
      </c>
      <c r="E16" s="145">
        <f>IF(Table!AV17&lt;&gt;"",Table!AV17,"")</f>
        <v>27.625</v>
      </c>
      <c r="F16" s="146">
        <f>IF(Table!AW17&lt;&gt;"",Table!AW17,"")</f>
        <v>5.875</v>
      </c>
      <c r="G16" s="147">
        <f>IF(Table!AX17&lt;&gt;"",Table!AX17,"")</f>
        <v>15.9</v>
      </c>
      <c r="H16" s="148">
        <f>IF(Table!AY17&lt;&gt;"",Table!AY17,"")</f>
        <v>13.265000000000001</v>
      </c>
      <c r="I16" s="148">
        <f>IF(Table!AZ17&lt;&gt;"",Table!AZ17,"")</f>
        <v>10.305</v>
      </c>
      <c r="J16" s="148">
        <f>IF(Table!BA17&lt;&gt;"",Table!BA17,"")</f>
        <v>0.38375000000000004</v>
      </c>
      <c r="K16" s="98">
        <f>IF(Table!BB17&lt;&gt;"",Table!BB17,"")</f>
        <v>2.2549999999999999</v>
      </c>
      <c r="L16" s="149">
        <f>IF(Table!BC17&lt;&gt;"",Table!BC17,"")</f>
        <v>133</v>
      </c>
      <c r="M16" s="150">
        <f>IF(Table!BD17&lt;&gt;"",Table!BD17,"")</f>
        <v>208.25</v>
      </c>
      <c r="N16" s="151">
        <f>IF(Table!BE17&lt;&gt;"",Table!BE17,"")</f>
        <v>5.75</v>
      </c>
      <c r="O16" s="160">
        <f>IF(Table!BF17&lt;&gt;"",Table!BF17,"")</f>
        <v>0.20800000000000002</v>
      </c>
      <c r="P16" s="153">
        <f>IF(Table!BG17&lt;&gt;"",Table!BG17,"")</f>
        <v>1.39</v>
      </c>
      <c r="Q16" s="154">
        <f>IF(Table!BH17&lt;&gt;"",Table!BH17,"")</f>
        <v>0.3</v>
      </c>
      <c r="R16" s="151">
        <f>IF(Table!BI17&lt;&gt;"",Table!BI17,"")</f>
        <v>0</v>
      </c>
      <c r="S16" s="155">
        <f>IF(Table!BJ17&lt;&gt;"",Table!BJ17,"")</f>
        <v>0</v>
      </c>
      <c r="T16" s="156">
        <f>IF(Table!BK17&lt;&gt;"",Table!BK17,"")</f>
        <v>0</v>
      </c>
      <c r="U16" s="155">
        <f>IF(Table!BL17&lt;&gt;"",Table!BL17,"")</f>
        <v>0</v>
      </c>
      <c r="V16" s="157">
        <f>IF(Table!BN17&lt;&gt;"",Table!BN17,"")</f>
        <v>1.7227272727272727</v>
      </c>
      <c r="W16" s="157">
        <f>IF(Table!BO17&lt;&gt;"",Table!BO17,"")</f>
        <v>1.7272727272727275</v>
      </c>
      <c r="X16" s="157">
        <f>IF(Table!BP17&lt;&gt;"",Table!BP17,"")</f>
        <v>1.500909090909091</v>
      </c>
      <c r="Y16" s="158">
        <f>IF(Table!BQ17&lt;&gt;"",Table!BQ17,"")</f>
        <v>1.4777272727272726</v>
      </c>
    </row>
    <row r="17" spans="1:25" ht="13.5" thickBot="1" x14ac:dyDescent="0.25">
      <c r="A17" s="385" t="str">
        <f>IF(Table!A18&lt;&gt;"",Table!A18,"")</f>
        <v>דצמבר</v>
      </c>
      <c r="B17" s="92" t="str">
        <f>IF(Table!A18&lt;&gt;"",Table!A18,"")</f>
        <v>דצמבר</v>
      </c>
      <c r="C17" s="143">
        <f>IF(Table!AT18&lt;&gt;"",Table!AT18,"")</f>
        <v>1E-3</v>
      </c>
      <c r="D17" s="159">
        <f>IF(Table!AU18&lt;&gt;"",Table!AU18,"")</f>
        <v>5</v>
      </c>
      <c r="E17" s="145">
        <f>IF(Table!AV18&lt;&gt;"",Table!AV18,"")</f>
        <v>25.888888888888889</v>
      </c>
      <c r="F17" s="146">
        <f>IF(Table!AW18&lt;&gt;"",Table!AW18,"")</f>
        <v>7.666666666666667</v>
      </c>
      <c r="G17" s="147">
        <f>IF(Table!AX18&lt;&gt;"",Table!AX18,"")</f>
        <v>17.75</v>
      </c>
      <c r="H17" s="148">
        <f>IF(Table!AY18&lt;&gt;"",Table!AY18,"")</f>
        <v>16.844999999999999</v>
      </c>
      <c r="I17" s="148">
        <f>IF(Table!AZ18&lt;&gt;"",Table!AZ18,"")</f>
        <v>11.48</v>
      </c>
      <c r="J17" s="148">
        <f>IF(Table!BA18&lt;&gt;"",Table!BA18,"")</f>
        <v>0.08</v>
      </c>
      <c r="K17" s="98">
        <f>IF(Table!BB18&lt;&gt;"",Table!BB18,"")</f>
        <v>0.98750000000000004</v>
      </c>
      <c r="L17" s="149">
        <f>IF(Table!BC18&lt;&gt;"",Table!BC18,"")</f>
        <v>137</v>
      </c>
      <c r="M17" s="150">
        <f>IF(Table!BD18&lt;&gt;"",Table!BD18,"")</f>
        <v>202.75</v>
      </c>
      <c r="N17" s="151">
        <f>IF(Table!BE18&lt;&gt;"",Table!BE18,"")</f>
        <v>5.2649999999999997</v>
      </c>
      <c r="O17" s="160">
        <f>IF(Table!BF18&lt;&gt;"",Table!BF18,"")</f>
        <v>0.2</v>
      </c>
      <c r="P17" s="153">
        <f>IF(Table!BG18&lt;&gt;"",Table!BG18,"")</f>
        <v>1.3525</v>
      </c>
      <c r="Q17" s="154">
        <f>IF(Table!BH18&lt;&gt;"",Table!BH18,"")</f>
        <v>0.3</v>
      </c>
      <c r="R17" s="151">
        <f>IF(Table!BI18&lt;&gt;"",Table!BI18,"")</f>
        <v>0</v>
      </c>
      <c r="S17" s="155">
        <f>IF(Table!BJ18&lt;&gt;"",Table!BJ18,"")</f>
        <v>0</v>
      </c>
      <c r="T17" s="156">
        <f>IF(Table!BK18&lt;&gt;"",Table!BK18,"")</f>
        <v>0</v>
      </c>
      <c r="U17" s="155">
        <f>IF(Table!BL18&lt;&gt;"",Table!BL18,"")</f>
        <v>0</v>
      </c>
      <c r="V17" s="157">
        <f>IF(Table!BN18&lt;&gt;"",Table!BN18,"")</f>
        <v>1.6819999999999997</v>
      </c>
      <c r="W17" s="157">
        <f>IF(Table!BO18&lt;&gt;"",Table!BO18,"")</f>
        <v>1.6774999999999998</v>
      </c>
      <c r="X17" s="157">
        <f>IF(Table!BP18&lt;&gt;"",Table!BP18,"")</f>
        <v>1.5154999999999998</v>
      </c>
      <c r="Y17" s="158">
        <f>IF(Table!BQ18&lt;&gt;"",Table!BQ18,"")</f>
        <v>1.4840000000000002</v>
      </c>
    </row>
    <row r="18" spans="1:25" x14ac:dyDescent="0.2">
      <c r="A18" s="642" t="s">
        <v>203</v>
      </c>
      <c r="B18" s="653"/>
      <c r="C18" s="167"/>
      <c r="D18" s="104"/>
      <c r="E18" s="167"/>
      <c r="F18" s="110"/>
      <c r="G18" s="103"/>
      <c r="H18" s="104"/>
      <c r="I18" s="104"/>
      <c r="J18" s="104"/>
      <c r="K18" s="104"/>
      <c r="L18" s="168"/>
      <c r="M18" s="169"/>
      <c r="N18" s="170"/>
      <c r="O18" s="171"/>
      <c r="P18" s="171"/>
      <c r="Q18" s="172"/>
      <c r="R18" s="173"/>
      <c r="S18" s="171"/>
      <c r="T18" s="171"/>
      <c r="U18" s="171"/>
      <c r="V18" s="170"/>
      <c r="W18" s="170"/>
      <c r="X18" s="170"/>
      <c r="Y18" s="174"/>
    </row>
    <row r="19" spans="1:25" x14ac:dyDescent="0.2">
      <c r="A19" s="644" t="s">
        <v>3</v>
      </c>
      <c r="B19" s="654"/>
      <c r="C19" s="175">
        <f t="shared" ref="C19:Y19" si="0">AVERAGE(C6:C17)</f>
        <v>0.80580555555555555</v>
      </c>
      <c r="D19" s="113">
        <f t="shared" si="0"/>
        <v>5.1388888888888884</v>
      </c>
      <c r="E19" s="175">
        <f t="shared" si="0"/>
        <v>34.803571428571438</v>
      </c>
      <c r="F19" s="176">
        <f t="shared" si="0"/>
        <v>7.7123015873015879</v>
      </c>
      <c r="G19" s="177">
        <f t="shared" si="0"/>
        <v>18.985000000000003</v>
      </c>
      <c r="H19" s="178">
        <f t="shared" si="0"/>
        <v>16.402347222222222</v>
      </c>
      <c r="I19" s="178">
        <f t="shared" si="0"/>
        <v>12.229402777777777</v>
      </c>
      <c r="J19" s="178">
        <f t="shared" si="0"/>
        <v>0.39900694444444446</v>
      </c>
      <c r="K19" s="178">
        <f t="shared" si="0"/>
        <v>2.1163430555555558</v>
      </c>
      <c r="L19" s="179">
        <f t="shared" si="0"/>
        <v>134.38083333333336</v>
      </c>
      <c r="M19" s="180">
        <f t="shared" si="0"/>
        <v>217.31534722222224</v>
      </c>
      <c r="N19" s="181">
        <f t="shared" si="0"/>
        <v>4.759236111111111</v>
      </c>
      <c r="O19" s="182">
        <f t="shared" si="0"/>
        <v>0.21248611111111115</v>
      </c>
      <c r="P19" s="182">
        <f t="shared" si="0"/>
        <v>1.4238888888888888</v>
      </c>
      <c r="Q19" s="185">
        <f t="shared" si="0"/>
        <v>0.27499999999999997</v>
      </c>
      <c r="R19" s="184">
        <f t="shared" si="0"/>
        <v>0</v>
      </c>
      <c r="S19" s="182">
        <f t="shared" si="0"/>
        <v>0</v>
      </c>
      <c r="T19" s="182">
        <f t="shared" si="0"/>
        <v>0</v>
      </c>
      <c r="U19" s="182">
        <f t="shared" si="0"/>
        <v>0</v>
      </c>
      <c r="V19" s="181">
        <f t="shared" si="0"/>
        <v>1.6256363619853322</v>
      </c>
      <c r="W19" s="181">
        <f t="shared" si="0"/>
        <v>1.6305444936451801</v>
      </c>
      <c r="X19" s="181">
        <f t="shared" si="0"/>
        <v>1.5200685753827914</v>
      </c>
      <c r="Y19" s="185">
        <f t="shared" si="0"/>
        <v>1.4965506571517728</v>
      </c>
    </row>
    <row r="20" spans="1:25" x14ac:dyDescent="0.2">
      <c r="A20" s="644" t="s">
        <v>17</v>
      </c>
      <c r="B20" s="654"/>
      <c r="C20" s="175">
        <f t="shared" ref="C20:Y20" si="1">MAX(C6:C17)</f>
        <v>1.6666666666666667</v>
      </c>
      <c r="D20" s="113">
        <f t="shared" si="1"/>
        <v>6.5</v>
      </c>
      <c r="E20" s="175">
        <f t="shared" si="1"/>
        <v>47.25</v>
      </c>
      <c r="F20" s="176">
        <f t="shared" si="1"/>
        <v>13.875</v>
      </c>
      <c r="G20" s="177">
        <f t="shared" si="1"/>
        <v>28.5</v>
      </c>
      <c r="H20" s="178">
        <f t="shared" si="1"/>
        <v>25.305</v>
      </c>
      <c r="I20" s="178">
        <f t="shared" si="1"/>
        <v>22.66</v>
      </c>
      <c r="J20" s="178">
        <f t="shared" si="1"/>
        <v>1.1052500000000001</v>
      </c>
      <c r="K20" s="178">
        <f t="shared" si="1"/>
        <v>5.4317500000000001</v>
      </c>
      <c r="L20" s="179">
        <f t="shared" si="1"/>
        <v>145.25</v>
      </c>
      <c r="M20" s="180">
        <f t="shared" si="1"/>
        <v>246.4</v>
      </c>
      <c r="N20" s="181">
        <f t="shared" si="1"/>
        <v>8.5500000000000007</v>
      </c>
      <c r="O20" s="182">
        <f t="shared" si="1"/>
        <v>0.28266666666666668</v>
      </c>
      <c r="P20" s="182">
        <f t="shared" si="1"/>
        <v>1.5525</v>
      </c>
      <c r="Q20" s="185">
        <f t="shared" si="1"/>
        <v>0.3</v>
      </c>
      <c r="R20" s="184">
        <f t="shared" si="1"/>
        <v>0</v>
      </c>
      <c r="S20" s="182">
        <f t="shared" si="1"/>
        <v>0</v>
      </c>
      <c r="T20" s="182">
        <f t="shared" si="1"/>
        <v>0</v>
      </c>
      <c r="U20" s="182">
        <f t="shared" si="1"/>
        <v>0</v>
      </c>
      <c r="V20" s="181">
        <f t="shared" si="1"/>
        <v>1.7931578947368421</v>
      </c>
      <c r="W20" s="181">
        <f t="shared" si="1"/>
        <v>1.7978947368421054</v>
      </c>
      <c r="X20" s="181">
        <f t="shared" si="1"/>
        <v>1.5861904761904759</v>
      </c>
      <c r="Y20" s="185">
        <f t="shared" si="1"/>
        <v>1.5652380952380949</v>
      </c>
    </row>
    <row r="21" spans="1:25" ht="13.5" thickBot="1" x14ac:dyDescent="0.25">
      <c r="A21" s="640" t="s">
        <v>18</v>
      </c>
      <c r="B21" s="652"/>
      <c r="C21" s="186">
        <f t="shared" ref="C21:Y21" si="2">MIN(C7:C18)</f>
        <v>1E-3</v>
      </c>
      <c r="D21" s="122">
        <f t="shared" si="2"/>
        <v>5</v>
      </c>
      <c r="E21" s="186">
        <f t="shared" si="2"/>
        <v>25.888888888888889</v>
      </c>
      <c r="F21" s="187">
        <f t="shared" si="2"/>
        <v>5.333333333333333</v>
      </c>
      <c r="G21" s="188">
        <f t="shared" si="2"/>
        <v>12.799999999999999</v>
      </c>
      <c r="H21" s="189">
        <f t="shared" si="2"/>
        <v>8.6466666666666665</v>
      </c>
      <c r="I21" s="189">
        <f t="shared" si="2"/>
        <v>6</v>
      </c>
      <c r="J21" s="189">
        <f t="shared" si="2"/>
        <v>0.08</v>
      </c>
      <c r="K21" s="189">
        <f t="shared" si="2"/>
        <v>0</v>
      </c>
      <c r="L21" s="190">
        <f t="shared" si="2"/>
        <v>117</v>
      </c>
      <c r="M21" s="191">
        <f t="shared" si="2"/>
        <v>195.2</v>
      </c>
      <c r="N21" s="192">
        <f t="shared" si="2"/>
        <v>1.8399999999999999</v>
      </c>
      <c r="O21" s="193">
        <f t="shared" si="2"/>
        <v>0.2</v>
      </c>
      <c r="P21" s="193">
        <f t="shared" si="2"/>
        <v>1.2933333333333332</v>
      </c>
      <c r="Q21" s="196">
        <f t="shared" si="2"/>
        <v>0</v>
      </c>
      <c r="R21" s="195">
        <f t="shared" si="2"/>
        <v>0</v>
      </c>
      <c r="S21" s="193">
        <f t="shared" si="2"/>
        <v>0</v>
      </c>
      <c r="T21" s="193">
        <f t="shared" si="2"/>
        <v>0</v>
      </c>
      <c r="U21" s="193">
        <f t="shared" si="2"/>
        <v>0</v>
      </c>
      <c r="V21" s="192">
        <f t="shared" si="2"/>
        <v>1.3394999999999999</v>
      </c>
      <c r="W21" s="192">
        <f t="shared" si="2"/>
        <v>1.3534999999999999</v>
      </c>
      <c r="X21" s="192">
        <f t="shared" si="2"/>
        <v>1.4630434782608701</v>
      </c>
      <c r="Y21" s="196">
        <f t="shared" si="2"/>
        <v>1.42</v>
      </c>
    </row>
  </sheetData>
  <mergeCells count="10">
    <mergeCell ref="A4:A5"/>
    <mergeCell ref="B4:B5"/>
    <mergeCell ref="E2:Y2"/>
    <mergeCell ref="A21:B21"/>
    <mergeCell ref="A18:B18"/>
    <mergeCell ref="A19:B19"/>
    <mergeCell ref="A20:B20"/>
    <mergeCell ref="C3:U3"/>
    <mergeCell ref="A2:D2"/>
    <mergeCell ref="A3:B3"/>
  </mergeCells>
  <phoneticPr fontId="6" type="noConversion"/>
  <printOptions horizontalCentered="1" verticalCentered="1"/>
  <pageMargins left="0.2" right="0.2" top="0.79" bottom="1.1399999999999999" header="0.44" footer="0.51181102362204722"/>
  <pageSetup paperSize="9" scale="70" orientation="landscape" horizontalDpi="200" verticalDpi="200" r:id="rId1"/>
  <headerFooter alignWithMargins="0">
    <oddHeader>&amp;C&amp;20&amp;Xא.ל.ד איכות הסביבה</oddHeader>
    <oddFooter>&amp;C&amp;16&amp;Yמכון טיהור שפכים להבים</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גיליון6"/>
  <dimension ref="A1:R30"/>
  <sheetViews>
    <sheetView showGridLines="0" showZeros="0" rightToLeft="1" workbookViewId="0">
      <pane xSplit="2" ySplit="6" topLeftCell="K7" activePane="bottomRight" state="frozen"/>
      <selection pane="topRight" activeCell="C1" sqref="C1"/>
      <selection pane="bottomLeft" activeCell="A8" sqref="A8"/>
      <selection pane="bottomRight" activeCell="U14" sqref="U14"/>
    </sheetView>
  </sheetViews>
  <sheetFormatPr defaultColWidth="9.140625" defaultRowHeight="12.75" x14ac:dyDescent="0.2"/>
  <cols>
    <col min="1" max="1" width="26.28515625" style="82" customWidth="1"/>
    <col min="2" max="2" width="6" style="82" hidden="1" customWidth="1"/>
    <col min="3" max="3" width="7.85546875" style="82" hidden="1" customWidth="1"/>
    <col min="4" max="5" width="7.140625" style="82" hidden="1" customWidth="1"/>
    <col min="6" max="6" width="6.7109375" style="82" hidden="1" customWidth="1"/>
    <col min="7" max="7" width="6.85546875" style="82" hidden="1" customWidth="1"/>
    <col min="8" max="8" width="7" style="82" hidden="1" customWidth="1"/>
    <col min="9" max="9" width="6.42578125" style="82" hidden="1" customWidth="1"/>
    <col min="10" max="10" width="7" style="82" hidden="1" customWidth="1"/>
    <col min="11" max="11" width="7.85546875" style="82" bestFit="1" customWidth="1"/>
    <col min="12" max="12" width="7.140625" style="82" customWidth="1"/>
    <col min="13" max="13" width="7.28515625" style="82" customWidth="1"/>
    <col min="14" max="14" width="9.140625" style="82" customWidth="1"/>
    <col min="15" max="15" width="6.85546875" style="82" customWidth="1"/>
    <col min="16" max="16" width="8.5703125" style="82" bestFit="1" customWidth="1"/>
    <col min="17" max="17" width="7.28515625" style="82" bestFit="1" customWidth="1"/>
    <col min="18" max="18" width="7" style="82" customWidth="1"/>
    <col min="19" max="16384" width="9.140625" style="82"/>
  </cols>
  <sheetData>
    <row r="1" spans="1:18" ht="13.5" thickBot="1" x14ac:dyDescent="0.25"/>
    <row r="2" spans="1:18" ht="13.5" thickBot="1" x14ac:dyDescent="0.25">
      <c r="A2" s="634" t="s">
        <v>238</v>
      </c>
      <c r="B2" s="622"/>
      <c r="C2" s="622"/>
      <c r="D2" s="623"/>
      <c r="E2" s="625" t="s">
        <v>163</v>
      </c>
      <c r="F2" s="625"/>
      <c r="G2" s="625"/>
      <c r="H2" s="625"/>
      <c r="I2" s="625"/>
      <c r="J2" s="625"/>
      <c r="K2" s="625"/>
      <c r="L2" s="625"/>
      <c r="M2" s="625"/>
      <c r="N2" s="625"/>
      <c r="O2" s="625"/>
      <c r="P2" s="625"/>
      <c r="Q2" s="625"/>
      <c r="R2" s="626"/>
    </row>
    <row r="3" spans="1:18" ht="13.5" thickBot="1" x14ac:dyDescent="0.25">
      <c r="A3" s="633" t="s">
        <v>42</v>
      </c>
      <c r="B3" s="639"/>
      <c r="C3" s="633" t="s">
        <v>124</v>
      </c>
      <c r="D3" s="627"/>
      <c r="E3" s="627"/>
      <c r="F3" s="627"/>
      <c r="G3" s="627"/>
      <c r="H3" s="627"/>
      <c r="I3" s="627"/>
      <c r="J3" s="639"/>
      <c r="K3" s="627" t="s">
        <v>125</v>
      </c>
      <c r="L3" s="627"/>
      <c r="M3" s="627"/>
      <c r="N3" s="627"/>
      <c r="O3" s="627"/>
      <c r="P3" s="627"/>
      <c r="Q3" s="627"/>
      <c r="R3" s="639"/>
    </row>
    <row r="4" spans="1:18" ht="13.5" customHeight="1" thickBot="1" x14ac:dyDescent="0.25">
      <c r="A4" s="674" t="s">
        <v>166</v>
      </c>
      <c r="B4" s="675"/>
      <c r="C4" s="661" t="s">
        <v>26</v>
      </c>
      <c r="D4" s="662"/>
      <c r="E4" s="662"/>
      <c r="F4" s="662"/>
      <c r="G4" s="662"/>
      <c r="H4" s="663"/>
      <c r="I4" s="670" t="s">
        <v>109</v>
      </c>
      <c r="J4" s="671"/>
      <c r="K4" s="661" t="s">
        <v>26</v>
      </c>
      <c r="L4" s="662"/>
      <c r="M4" s="662"/>
      <c r="N4" s="662"/>
      <c r="O4" s="662"/>
      <c r="P4" s="663"/>
      <c r="Q4" s="670" t="s">
        <v>109</v>
      </c>
      <c r="R4" s="671"/>
    </row>
    <row r="5" spans="1:18" ht="27" customHeight="1" thickBot="1" x14ac:dyDescent="0.25">
      <c r="A5" s="657" t="s">
        <v>1</v>
      </c>
      <c r="B5" s="630" t="s">
        <v>16</v>
      </c>
      <c r="C5" s="256" t="s">
        <v>122</v>
      </c>
      <c r="D5" s="257" t="s">
        <v>123</v>
      </c>
      <c r="E5" s="258" t="s">
        <v>36</v>
      </c>
      <c r="F5" s="258" t="s">
        <v>8</v>
      </c>
      <c r="G5" s="259" t="s">
        <v>39</v>
      </c>
      <c r="H5" s="668" t="s">
        <v>12</v>
      </c>
      <c r="I5" s="59" t="s">
        <v>110</v>
      </c>
      <c r="J5" s="60" t="s">
        <v>111</v>
      </c>
      <c r="K5" s="256" t="s">
        <v>122</v>
      </c>
      <c r="L5" s="257" t="s">
        <v>123</v>
      </c>
      <c r="M5" s="258" t="s">
        <v>36</v>
      </c>
      <c r="N5" s="258" t="s">
        <v>8</v>
      </c>
      <c r="O5" s="259" t="s">
        <v>39</v>
      </c>
      <c r="P5" s="668" t="s">
        <v>12</v>
      </c>
      <c r="Q5" s="59" t="s">
        <v>110</v>
      </c>
      <c r="R5" s="60" t="s">
        <v>111</v>
      </c>
    </row>
    <row r="6" spans="1:18" ht="13.5" thickBot="1" x14ac:dyDescent="0.25">
      <c r="A6" s="658"/>
      <c r="B6" s="631"/>
      <c r="C6" s="672" t="s">
        <v>51</v>
      </c>
      <c r="D6" s="673"/>
      <c r="E6" s="88" t="s">
        <v>37</v>
      </c>
      <c r="F6" s="88" t="s">
        <v>41</v>
      </c>
      <c r="G6" s="260" t="s">
        <v>10</v>
      </c>
      <c r="H6" s="669"/>
      <c r="I6" s="672" t="s">
        <v>51</v>
      </c>
      <c r="J6" s="673"/>
      <c r="K6" s="672" t="s">
        <v>51</v>
      </c>
      <c r="L6" s="673"/>
      <c r="M6" s="88" t="s">
        <v>37</v>
      </c>
      <c r="N6" s="88" t="s">
        <v>41</v>
      </c>
      <c r="O6" s="260" t="s">
        <v>10</v>
      </c>
      <c r="P6" s="669"/>
      <c r="Q6" s="672" t="s">
        <v>51</v>
      </c>
      <c r="R6" s="676"/>
    </row>
    <row r="7" spans="1:18" x14ac:dyDescent="0.2">
      <c r="A7" s="385" t="str">
        <f>IF(Table!A7&lt;&gt;"",Table!A7,"")</f>
        <v>ינואר</v>
      </c>
      <c r="B7" s="92"/>
      <c r="C7" s="261" t="str">
        <f>IF(Table!BT7&lt;&gt;"",Table!BT7,"")</f>
        <v/>
      </c>
      <c r="D7" s="262" t="str">
        <f>IF(Table!BU7&lt;&gt;"",Table!BU7,"")</f>
        <v/>
      </c>
      <c r="E7" s="263" t="str">
        <f>IF(Table!BV7&lt;&gt;"",Table!BV7,"")</f>
        <v/>
      </c>
      <c r="F7" s="149" t="str">
        <f>IF(AND(E7&lt;&gt;"",C7&lt;&gt;""),E7*1000/C7, "")</f>
        <v/>
      </c>
      <c r="G7" s="264" t="str">
        <f>IF(AND(D7&lt;&gt;"",C7&lt;&gt;""),D7/C7, "")</f>
        <v/>
      </c>
      <c r="H7" s="166" t="str">
        <f>IF(AND(ספיקות!C6&lt;&gt;"",'איכות שפכים'!C6&lt;&gt;"",D7&lt;&gt;"",Table!CS7&lt;&gt;""),(ספיקות!C6*'איכות שפכים'!C6/1000)/(D7/1000*Table!CS7), "")</f>
        <v/>
      </c>
      <c r="I7" s="212" t="str">
        <f>IF(Table!BR7&lt;&gt;"",Table!BR7,"")</f>
        <v/>
      </c>
      <c r="J7" s="216" t="str">
        <f>IF(Table!BS7&lt;&gt;"",Table!BS7,"")</f>
        <v/>
      </c>
      <c r="K7" s="261">
        <v>3602.5</v>
      </c>
      <c r="L7" s="262">
        <v>2752.2857142857142</v>
      </c>
      <c r="M7" s="229">
        <v>390.45454545454544</v>
      </c>
      <c r="N7" s="149">
        <v>111.47046978586845</v>
      </c>
      <c r="O7" s="264">
        <v>0.77561268748532541</v>
      </c>
      <c r="P7" s="166">
        <v>0.13826485809969363</v>
      </c>
      <c r="Q7" s="212">
        <v>1.1636363636363638</v>
      </c>
      <c r="R7" s="213">
        <v>1.259090909090909</v>
      </c>
    </row>
    <row r="8" spans="1:18" x14ac:dyDescent="0.2">
      <c r="A8" s="385" t="str">
        <f>IF(Table!A8&lt;&gt;"",Table!A8,"")</f>
        <v>פברואר</v>
      </c>
      <c r="B8" s="92"/>
      <c r="C8" s="227" t="str">
        <f>IF(Table!BT8&lt;&gt;"",Table!BT8,"")</f>
        <v/>
      </c>
      <c r="D8" s="97" t="str">
        <f>IF(Table!BU8&lt;&gt;"",Table!BU8,"")</f>
        <v/>
      </c>
      <c r="E8" s="97" t="str">
        <f>IF(Table!BV8&lt;&gt;"",Table!BV8,"")</f>
        <v/>
      </c>
      <c r="F8" s="149" t="str">
        <f t="shared" ref="F8:F18" si="0">IF(AND(E8&lt;&gt;"",C8&lt;&gt;""),E8*1000/C8, "")</f>
        <v/>
      </c>
      <c r="G8" s="264" t="str">
        <f t="shared" ref="G8:G18" si="1">IF(AND(D8&lt;&gt;"",C8&lt;&gt;""),D8/C8, "")</f>
        <v/>
      </c>
      <c r="H8" s="166" t="str">
        <f>IF(AND(ספיקות!C7&lt;&gt;"",'איכות שפכים'!C7&lt;&gt;"",D8&lt;&gt;"",Table!CS8&lt;&gt;""),(ספיקות!C7*'איכות שפכים'!C7/1000)/(D8/1000*Table!CS8), "")</f>
        <v/>
      </c>
      <c r="I8" s="157" t="str">
        <f>IF(Table!BR8&lt;&gt;"",Table!BR8,"")</f>
        <v/>
      </c>
      <c r="J8" s="166" t="str">
        <f>IF(Table!BS8&lt;&gt;"",Table!BS8,"")</f>
        <v/>
      </c>
      <c r="K8" s="227">
        <f>IF(Table!BY8&lt;&gt;"",Table!BY8,"")</f>
        <v>2958.75</v>
      </c>
      <c r="L8" s="229">
        <f>IF(Table!BZ8&lt;&gt;"",Table!BZ8,"")</f>
        <v>2293</v>
      </c>
      <c r="M8" s="229">
        <f>IF(Table!CA8&lt;&gt;"",Table!CA8,"")</f>
        <v>375.5</v>
      </c>
      <c r="N8" s="149">
        <f t="shared" ref="N8:N18" si="2">IF(AND(M8&lt;&gt;"",K8&lt;&gt;""),M8*1000/K8, "")</f>
        <v>126.91170257710182</v>
      </c>
      <c r="O8" s="264">
        <f t="shared" ref="O8:O18" si="3">IF(AND(L8&lt;&gt;"",K8&lt;&gt;""),L8/K8, "")</f>
        <v>0.7749894381073088</v>
      </c>
      <c r="P8" s="166">
        <f>IF(AND(ספיקות!C7&lt;&gt;"",'איכות שפכים'!C7&lt;&gt;"",L8&lt;&gt;"",Table!CS8&lt;&gt;""),(ספיקות!C7*'איכות שפכים'!C7/1000)/(L8/1000*Table!CS8), "")</f>
        <v>0.13104518410067906</v>
      </c>
      <c r="Q8" s="157">
        <f>IF(Table!BW8&lt;&gt;"",Table!BW8,"")</f>
        <v>1.8</v>
      </c>
      <c r="R8" s="166">
        <f>IF(Table!BX8&lt;&gt;"",Table!BX8,"")</f>
        <v>1.8</v>
      </c>
    </row>
    <row r="9" spans="1:18" x14ac:dyDescent="0.2">
      <c r="A9" s="385" t="str">
        <f>IF(Table!A9&lt;&gt;"",Table!A9,"")</f>
        <v>מרץ</v>
      </c>
      <c r="B9" s="92"/>
      <c r="C9" s="227" t="str">
        <f>IF(Table!BT9&lt;&gt;"",Table!BT9,"")</f>
        <v/>
      </c>
      <c r="D9" s="97" t="str">
        <f>IF(Table!BU9&lt;&gt;"",Table!BU9,"")</f>
        <v/>
      </c>
      <c r="E9" s="97" t="str">
        <f>IF(Table!BV9&lt;&gt;"",Table!BV9,"")</f>
        <v/>
      </c>
      <c r="F9" s="149" t="str">
        <f t="shared" si="0"/>
        <v/>
      </c>
      <c r="G9" s="264" t="str">
        <f t="shared" si="1"/>
        <v/>
      </c>
      <c r="H9" s="166" t="str">
        <f>IF(AND(ספיקות!C8&lt;&gt;"",'איכות שפכים'!C8&lt;&gt;"",D9&lt;&gt;"",Table!CS9&lt;&gt;""),(ספיקות!C8*'איכות שפכים'!C8/1000)/(D9/1000*Table!CS9), "")</f>
        <v/>
      </c>
      <c r="I9" s="157" t="str">
        <f>IF(Table!BR9&lt;&gt;"",Table!BR9,"")</f>
        <v/>
      </c>
      <c r="J9" s="166" t="str">
        <f>IF(Table!BS9&lt;&gt;"",Table!BS9,"")</f>
        <v/>
      </c>
      <c r="K9" s="227">
        <f>IF(Table!BY9&lt;&gt;"",Table!BY9,"")</f>
        <v>2609.1999999999998</v>
      </c>
      <c r="L9" s="229">
        <f>IF(Table!BZ9&lt;&gt;"",Table!BZ9,"")</f>
        <v>2080.8000000000002</v>
      </c>
      <c r="M9" s="229">
        <f>IF(Table!CA9&lt;&gt;"",Table!CA9,"")</f>
        <v>358.63636363636363</v>
      </c>
      <c r="N9" s="149">
        <f t="shared" si="2"/>
        <v>137.45069892548048</v>
      </c>
      <c r="O9" s="264">
        <f t="shared" si="3"/>
        <v>0.79748581940824781</v>
      </c>
      <c r="P9" s="166">
        <f>IF(AND(ספיקות!C8&lt;&gt;"",'איכות שפכים'!C8&lt;&gt;"",L9&lt;&gt;"",Table!CS9&lt;&gt;""),(ספיקות!C8*'איכות שפכים'!C8/1000)/(L9/1000*Table!CS9), "")</f>
        <v>0.10589025358778928</v>
      </c>
      <c r="Q9" s="157">
        <f>IF(Table!BW9&lt;&gt;"",Table!BW9,"")</f>
        <v>1.8</v>
      </c>
      <c r="R9" s="166">
        <f>IF(Table!BX9&lt;&gt;"",Table!BX9,"")</f>
        <v>1.8</v>
      </c>
    </row>
    <row r="10" spans="1:18" x14ac:dyDescent="0.2">
      <c r="A10" s="385" t="str">
        <f>IF(Table!A10&lt;&gt;"",Table!A10,"")</f>
        <v>אפריל</v>
      </c>
      <c r="B10" s="92"/>
      <c r="C10" s="227" t="str">
        <f>IF(Table!BT10&lt;&gt;"",Table!BT10,"")</f>
        <v/>
      </c>
      <c r="D10" s="97" t="str">
        <f>IF(Table!BU10&lt;&gt;"",Table!BU10,"")</f>
        <v/>
      </c>
      <c r="E10" s="97" t="str">
        <f>IF(Table!BV10&lt;&gt;"",Table!BV10,"")</f>
        <v/>
      </c>
      <c r="F10" s="149" t="str">
        <f t="shared" si="0"/>
        <v/>
      </c>
      <c r="G10" s="264" t="str">
        <f t="shared" si="1"/>
        <v/>
      </c>
      <c r="H10" s="166" t="str">
        <f>IF(AND(ספיקות!C9&lt;&gt;"",'איכות שפכים'!C9&lt;&gt;"",D10&lt;&gt;"",Table!CS10&lt;&gt;""),(ספיקות!C9*'איכות שפכים'!C9/1000)/(D10/1000*Table!CS10), "")</f>
        <v/>
      </c>
      <c r="I10" s="157" t="str">
        <f>IF(Table!BR10&lt;&gt;"",Table!BR10,"")</f>
        <v/>
      </c>
      <c r="J10" s="166" t="str">
        <f>IF(Table!BS10&lt;&gt;"",Table!BS10,"")</f>
        <v/>
      </c>
      <c r="K10" s="227">
        <f>IF(Table!BY10&lt;&gt;"",Table!BY10,"")</f>
        <v>2654.2222222222222</v>
      </c>
      <c r="L10" s="229">
        <f>IF(Table!BZ10&lt;&gt;"",Table!BZ10,"")</f>
        <v>2050.8888888888887</v>
      </c>
      <c r="M10" s="229">
        <f>IF(Table!CA10&lt;&gt;"",Table!CA10,"")</f>
        <v>368.69565217391306</v>
      </c>
      <c r="N10" s="149">
        <f t="shared" si="2"/>
        <v>138.90911208829613</v>
      </c>
      <c r="O10" s="264">
        <f t="shared" si="3"/>
        <v>0.77268921634293364</v>
      </c>
      <c r="P10" s="166">
        <f>IF(AND(ספיקות!C9&lt;&gt;"",'איכות שפכים'!C9&lt;&gt;"",L10&lt;&gt;"",Table!CS10&lt;&gt;""),(ספיקות!C9*'איכות שפכים'!C9/1000)/(L10/1000*Table!CS10), "")</f>
        <v>0.16513126365713149</v>
      </c>
      <c r="Q10" s="157">
        <f>IF(Table!BW10&lt;&gt;"",Table!BW10,"")</f>
        <v>1.8</v>
      </c>
      <c r="R10" s="166">
        <f>IF(Table!BX10&lt;&gt;"",Table!BX10,"")</f>
        <v>1.8</v>
      </c>
    </row>
    <row r="11" spans="1:18" x14ac:dyDescent="0.2">
      <c r="A11" s="385" t="str">
        <f>IF(Table!A11&lt;&gt;"",Table!A11,"")</f>
        <v>מאי</v>
      </c>
      <c r="B11" s="92"/>
      <c r="C11" s="227" t="str">
        <f>IF(Table!BT11&lt;&gt;"",Table!BT11,"")</f>
        <v/>
      </c>
      <c r="D11" s="97" t="str">
        <f>IF(Table!BU11&lt;&gt;"",Table!BU11,"")</f>
        <v/>
      </c>
      <c r="E11" s="97" t="str">
        <f>IF(Table!BV11&lt;&gt;"",Table!BV11,"")</f>
        <v/>
      </c>
      <c r="F11" s="149" t="str">
        <f t="shared" si="0"/>
        <v/>
      </c>
      <c r="G11" s="264" t="str">
        <f t="shared" si="1"/>
        <v/>
      </c>
      <c r="H11" s="166" t="str">
        <f>IF(AND(ספיקות!C10&lt;&gt;"",'איכות שפכים'!C10&lt;&gt;"",D11&lt;&gt;"",Table!CS11&lt;&gt;""),(ספיקות!C10*'איכות שפכים'!C10/1000)/(D11/1000*Table!CS11), "")</f>
        <v/>
      </c>
      <c r="I11" s="157" t="str">
        <f>IF(Table!BR11&lt;&gt;"",Table!BR11,"")</f>
        <v/>
      </c>
      <c r="J11" s="166" t="str">
        <f>IF(Table!BS11&lt;&gt;"",Table!BS11,"")</f>
        <v/>
      </c>
      <c r="K11" s="227">
        <f>IF(Table!BY11&lt;&gt;"",Table!BY11,"")</f>
        <v>3862</v>
      </c>
      <c r="L11" s="229">
        <f>IF(Table!BZ11&lt;&gt;"",Table!BZ11,"")</f>
        <v>2859.5</v>
      </c>
      <c r="M11" s="229">
        <f>IF(Table!CA11&lt;&gt;"",Table!CA11,"")</f>
        <v>368.69565217391306</v>
      </c>
      <c r="N11" s="149">
        <f t="shared" si="2"/>
        <v>95.467543286875468</v>
      </c>
      <c r="O11" s="264">
        <f t="shared" si="3"/>
        <v>0.74041947177628176</v>
      </c>
      <c r="P11" s="166">
        <f>IF(AND(ספיקות!C10&lt;&gt;"",'איכות שפכים'!C10&lt;&gt;"",L11&lt;&gt;"",Table!CS11&lt;&gt;""),(ספיקות!C10*'איכות שפכים'!C10/1000)/(L11/1000*Table!CS11), "")</f>
        <v>0.11585757889973745</v>
      </c>
      <c r="Q11" s="157">
        <f>IF(Table!BW11&lt;&gt;"",Table!BW11,"")</f>
        <v>1.8</v>
      </c>
      <c r="R11" s="166">
        <f>IF(Table!BX11&lt;&gt;"",Table!BX11,"")</f>
        <v>1.8</v>
      </c>
    </row>
    <row r="12" spans="1:18" x14ac:dyDescent="0.2">
      <c r="A12" s="385" t="str">
        <f>IF(Table!A12&lt;&gt;"",Table!A12,"")</f>
        <v>יוני</v>
      </c>
      <c r="B12" s="92"/>
      <c r="C12" s="227" t="str">
        <f>IF(Table!BT12&lt;&gt;"",Table!BT12,"")</f>
        <v/>
      </c>
      <c r="D12" s="97" t="str">
        <f>IF(Table!BU12&lt;&gt;"",Table!BU12,"")</f>
        <v/>
      </c>
      <c r="E12" s="97" t="str">
        <f>IF(Table!BV12&lt;&gt;"",Table!BV12,"")</f>
        <v/>
      </c>
      <c r="F12" s="149" t="str">
        <f t="shared" si="0"/>
        <v/>
      </c>
      <c r="G12" s="264" t="str">
        <f t="shared" si="1"/>
        <v/>
      </c>
      <c r="H12" s="166" t="str">
        <f>IF(AND(ספיקות!C11&lt;&gt;"",'איכות שפכים'!C11&lt;&gt;"",D12&lt;&gt;"",Table!CS12&lt;&gt;""),(ספיקות!C11*'איכות שפכים'!C11/1000)/(D12/1000*Table!CS12), "")</f>
        <v/>
      </c>
      <c r="I12" s="157" t="str">
        <f>IF(Table!BR12&lt;&gt;"",Table!BR12,"")</f>
        <v/>
      </c>
      <c r="J12" s="166" t="str">
        <f>IF(Table!BS12&lt;&gt;"",Table!BS12,"")</f>
        <v/>
      </c>
      <c r="K12" s="227">
        <f>IF(Table!BY12&lt;&gt;"",Table!BY12,"")</f>
        <v>3925.3333333333335</v>
      </c>
      <c r="L12" s="229">
        <f>IF(Table!BZ12&lt;&gt;"",Table!BZ12,"")</f>
        <v>2738.25</v>
      </c>
      <c r="M12" s="229">
        <f>IF(Table!CA12&lt;&gt;"",Table!CA12,"")</f>
        <v>368.69565217391306</v>
      </c>
      <c r="N12" s="149">
        <f t="shared" si="2"/>
        <v>93.927221172022698</v>
      </c>
      <c r="O12" s="264">
        <f t="shared" si="3"/>
        <v>0.69758406929347827</v>
      </c>
      <c r="P12" s="166">
        <f>IF(AND(ספיקות!C11&lt;&gt;"",'איכות שפכים'!C11&lt;&gt;"",L12&lt;&gt;"",Table!CS12&lt;&gt;""),(ספיקות!C11*'איכות שפכים'!C11/1000)/(L12/1000*Table!CS12), "")</f>
        <v>0.12767809500622429</v>
      </c>
      <c r="Q12" s="157">
        <f>IF(Table!BW12&lt;&gt;"",Table!BW12,"")</f>
        <v>1.8</v>
      </c>
      <c r="R12" s="166">
        <f>IF(Table!BX12&lt;&gt;"",Table!BX12,"")</f>
        <v>1.8</v>
      </c>
    </row>
    <row r="13" spans="1:18" x14ac:dyDescent="0.2">
      <c r="A13" s="385" t="str">
        <f>IF(Table!A13&lt;&gt;"",Table!A13,"")</f>
        <v>יולי</v>
      </c>
      <c r="B13" s="92"/>
      <c r="C13" s="227" t="str">
        <f>IF(Table!BT13&lt;&gt;"",Table!BT13,"")</f>
        <v/>
      </c>
      <c r="D13" s="97" t="str">
        <f>IF(Table!BU13&lt;&gt;"",Table!BU13,"")</f>
        <v/>
      </c>
      <c r="E13" s="97" t="str">
        <f>IF(Table!BV13&lt;&gt;"",Table!BV13,"")</f>
        <v/>
      </c>
      <c r="F13" s="149" t="str">
        <f t="shared" si="0"/>
        <v/>
      </c>
      <c r="G13" s="264" t="str">
        <f t="shared" si="1"/>
        <v/>
      </c>
      <c r="H13" s="166" t="str">
        <f>IF(AND(ספיקות!C12&lt;&gt;"",'איכות שפכים'!C12&lt;&gt;"",D13&lt;&gt;"",Table!CS13&lt;&gt;""),(ספיקות!C12*'איכות שפכים'!C12/1000)/(D13/1000*Table!CS13), "")</f>
        <v/>
      </c>
      <c r="I13" s="157" t="str">
        <f>IF(Table!BR13&lt;&gt;"",Table!BR13,"")</f>
        <v/>
      </c>
      <c r="J13" s="166" t="str">
        <f>IF(Table!BS13&lt;&gt;"",Table!BS13,"")</f>
        <v/>
      </c>
      <c r="K13" s="227">
        <f>IF(Table!BY13&lt;&gt;"",Table!BY13,"")</f>
        <v>3908.2222222222222</v>
      </c>
      <c r="L13" s="229">
        <f>IF(Table!BZ13&lt;&gt;"",Table!BZ13,"")</f>
        <v>2974.25</v>
      </c>
      <c r="M13" s="229">
        <f>IF(Table!CA13&lt;&gt;"",Table!CA13,"")</f>
        <v>368.69565217391306</v>
      </c>
      <c r="N13" s="149">
        <f t="shared" si="2"/>
        <v>94.338456518030867</v>
      </c>
      <c r="O13" s="264">
        <f t="shared" si="3"/>
        <v>0.76102376755558088</v>
      </c>
      <c r="P13" s="166">
        <f>IF(AND(ספיקות!C12&lt;&gt;"",'איכות שפכים'!C12&lt;&gt;"",L13&lt;&gt;"",Table!CS13&lt;&gt;""),(ספיקות!C12*'איכות שפכים'!C12/1000)/(L13/1000*Table!CS13), "")</f>
        <v>0.10594151974901256</v>
      </c>
      <c r="Q13" s="157">
        <f>IF(Table!BW13&lt;&gt;"",Table!BW13,"")</f>
        <v>1.8</v>
      </c>
      <c r="R13" s="166">
        <f>IF(Table!BX13&lt;&gt;"",Table!BX13,"")</f>
        <v>1.8</v>
      </c>
    </row>
    <row r="14" spans="1:18" x14ac:dyDescent="0.2">
      <c r="A14" s="385" t="str">
        <f>IF(Table!A14&lt;&gt;"",Table!A14,"")</f>
        <v>אוגוסט</v>
      </c>
      <c r="B14" s="92"/>
      <c r="C14" s="227" t="str">
        <f>IF(Table!BT14&lt;&gt;"",Table!BT14,"")</f>
        <v/>
      </c>
      <c r="D14" s="97" t="str">
        <f>IF(Table!BU14&lt;&gt;"",Table!BU14,"")</f>
        <v/>
      </c>
      <c r="E14" s="97" t="str">
        <f>IF(Table!BV14&lt;&gt;"",Table!BV14,"")</f>
        <v/>
      </c>
      <c r="F14" s="149" t="str">
        <f t="shared" si="0"/>
        <v/>
      </c>
      <c r="G14" s="264" t="str">
        <f t="shared" si="1"/>
        <v/>
      </c>
      <c r="H14" s="166" t="str">
        <f>IF(AND(ספיקות!C13&lt;&gt;"",'איכות שפכים'!C13&lt;&gt;"",D14&lt;&gt;"",Table!CS14&lt;&gt;""),(ספיקות!C13*'איכות שפכים'!C13/1000)/(D14/1000*Table!CS14), "")</f>
        <v/>
      </c>
      <c r="I14" s="157" t="str">
        <f>IF(Table!BR14&lt;&gt;"",Table!BR14,"")</f>
        <v/>
      </c>
      <c r="J14" s="166" t="str">
        <f>IF(Table!BS14&lt;&gt;"",Table!BS14,"")</f>
        <v/>
      </c>
      <c r="K14" s="227">
        <f>IF(Table!BY14&lt;&gt;"",Table!BY14,"")</f>
        <v>3201.5</v>
      </c>
      <c r="L14" s="229">
        <f>IF(Table!BZ14&lt;&gt;"",Table!BZ14,"")</f>
        <v>2442.5</v>
      </c>
      <c r="M14" s="229">
        <f>IF(Table!CA14&lt;&gt;"",Table!CA14,"")</f>
        <v>368.69565217391306</v>
      </c>
      <c r="N14" s="149">
        <f t="shared" si="2"/>
        <v>115.16340845663379</v>
      </c>
      <c r="O14" s="264">
        <f t="shared" si="3"/>
        <v>0.76292362954864912</v>
      </c>
      <c r="P14" s="166">
        <f>IF(AND(ספיקות!C13&lt;&gt;"",'איכות שפכים'!C13&lt;&gt;"",L14&lt;&gt;"",Table!CS14&lt;&gt;""),(ספיקות!C13*'איכות שפכים'!C13/1000)/(L14/1000*Table!CS14), "")</f>
        <v>0.14365515579964028</v>
      </c>
      <c r="Q14" s="157">
        <f>IF(Table!BW14&lt;&gt;"",Table!BW14,"")</f>
        <v>1.8</v>
      </c>
      <c r="R14" s="166">
        <f>IF(Table!BX14&lt;&gt;"",Table!BX14,"")</f>
        <v>1.8</v>
      </c>
    </row>
    <row r="15" spans="1:18" x14ac:dyDescent="0.2">
      <c r="A15" s="385" t="str">
        <f>IF(Table!A15&lt;&gt;"",Table!A15,"")</f>
        <v>ספטמבר</v>
      </c>
      <c r="B15" s="92"/>
      <c r="C15" s="227" t="str">
        <f>IF(Table!BT15&lt;&gt;"",Table!BT15,"")</f>
        <v/>
      </c>
      <c r="D15" s="97" t="str">
        <f>IF(Table!BU15&lt;&gt;"",Table!BU15,"")</f>
        <v/>
      </c>
      <c r="E15" s="97" t="str">
        <f>IF(Table!BV15&lt;&gt;"",Table!BV15,"")</f>
        <v/>
      </c>
      <c r="F15" s="149" t="str">
        <f t="shared" si="0"/>
        <v/>
      </c>
      <c r="G15" s="264" t="str">
        <f t="shared" si="1"/>
        <v/>
      </c>
      <c r="H15" s="166" t="str">
        <f>IF(AND(ספיקות!C14&lt;&gt;"",'איכות שפכים'!C14&lt;&gt;"",D15&lt;&gt;"",Table!CS15&lt;&gt;""),(ספיקות!C14*'איכות שפכים'!C14/1000)/(D15/1000*Table!CS15), "")</f>
        <v/>
      </c>
      <c r="I15" s="157" t="str">
        <f>IF(Table!BR15&lt;&gt;"",Table!BR15,"")</f>
        <v/>
      </c>
      <c r="J15" s="166" t="str">
        <f>IF(Table!BS15&lt;&gt;"",Table!BS15,"")</f>
        <v/>
      </c>
      <c r="K15" s="227">
        <f>IF(Table!BY15&lt;&gt;"",Table!BY15,"")</f>
        <v>4263.1428571428569</v>
      </c>
      <c r="L15" s="229">
        <f>IF(Table!BZ15&lt;&gt;"",Table!BZ15,"")</f>
        <v>3307.7142857142858</v>
      </c>
      <c r="M15" s="229">
        <f>IF(Table!CA15&lt;&gt;"",Table!CA15,"")</f>
        <v>368.69565217391306</v>
      </c>
      <c r="N15" s="149">
        <f t="shared" si="2"/>
        <v>86.484470384605316</v>
      </c>
      <c r="O15" s="264">
        <f t="shared" si="3"/>
        <v>0.77588633469606605</v>
      </c>
      <c r="P15" s="166">
        <f>IF(AND(ספיקות!C14&lt;&gt;"",'איכות שפכים'!C14&lt;&gt;"",L15&lt;&gt;"",Table!CS15&lt;&gt;""),(ספיקות!C14*'איכות שפכים'!C14/1000)/(L15/1000*Table!CS15), "")</f>
        <v>8.7188158833446897E-2</v>
      </c>
      <c r="Q15" s="157">
        <f>IF(Table!BW15&lt;&gt;"",Table!BW15,"")</f>
        <v>1.8</v>
      </c>
      <c r="R15" s="166">
        <f>IF(Table!BX15&lt;&gt;"",Table!BX15,"")</f>
        <v>1.8</v>
      </c>
    </row>
    <row r="16" spans="1:18" x14ac:dyDescent="0.2">
      <c r="A16" s="385" t="str">
        <f>IF(Table!A16&lt;&gt;"",Table!A16,"")</f>
        <v>אוקטובר</v>
      </c>
      <c r="B16" s="92"/>
      <c r="C16" s="227" t="str">
        <f>IF(Table!BT16&lt;&gt;"",Table!BT16,"")</f>
        <v/>
      </c>
      <c r="D16" s="97" t="str">
        <f>IF(Table!BU16&lt;&gt;"",Table!BU16,"")</f>
        <v/>
      </c>
      <c r="E16" s="97" t="str">
        <f>IF(Table!BV16&lt;&gt;"",Table!BV16,"")</f>
        <v/>
      </c>
      <c r="F16" s="149" t="str">
        <f t="shared" si="0"/>
        <v/>
      </c>
      <c r="G16" s="264" t="str">
        <f t="shared" si="1"/>
        <v/>
      </c>
      <c r="H16" s="166" t="str">
        <f>IF(AND(ספיקות!C15&lt;&gt;"",'איכות שפכים'!C15&lt;&gt;"",D16&lt;&gt;"",Table!CS16&lt;&gt;""),(ספיקות!C15*'איכות שפכים'!C15/1000)/(D16/1000*Table!CS16), "")</f>
        <v/>
      </c>
      <c r="I16" s="157" t="str">
        <f>IF(Table!BR16&lt;&gt;"",Table!BR16,"")</f>
        <v/>
      </c>
      <c r="J16" s="166" t="str">
        <f>IF(Table!BS16&lt;&gt;"",Table!BS16,"")</f>
        <v/>
      </c>
      <c r="K16" s="227">
        <f>IF(Table!BY16&lt;&gt;"",Table!BY16,"")</f>
        <v>3278.8</v>
      </c>
      <c r="L16" s="229">
        <f>IF(Table!BZ16&lt;&gt;"",Table!BZ16,"")</f>
        <v>2606.4</v>
      </c>
      <c r="M16" s="229">
        <f>IF(Table!CA16&lt;&gt;"",Table!CA16,"")</f>
        <v>361.5</v>
      </c>
      <c r="N16" s="149">
        <f t="shared" si="2"/>
        <v>110.25375137245334</v>
      </c>
      <c r="O16" s="264">
        <f t="shared" si="3"/>
        <v>0.79492497255093331</v>
      </c>
      <c r="P16" s="166">
        <f>IF(AND(ספיקות!C15&lt;&gt;"",'איכות שפכים'!C15&lt;&gt;"",L16&lt;&gt;"",Table!CS16&lt;&gt;""),(ספיקות!C15*'איכות שפכים'!C15/1000)/(L16/1000*Table!CS16), "")</f>
        <v>0.1364767424918755</v>
      </c>
      <c r="Q16" s="157">
        <f>IF(Table!BW16&lt;&gt;"",Table!BW16,"")</f>
        <v>1.8</v>
      </c>
      <c r="R16" s="166">
        <f>IF(Table!BX16&lt;&gt;"",Table!BX16,"")</f>
        <v>1.8</v>
      </c>
    </row>
    <row r="17" spans="1:18" x14ac:dyDescent="0.2">
      <c r="A17" s="385" t="str">
        <f>IF(Table!A17&lt;&gt;"",Table!A17,"")</f>
        <v>נובמבר</v>
      </c>
      <c r="B17" s="92"/>
      <c r="C17" s="227" t="str">
        <f>IF(Table!BT17&lt;&gt;"",Table!BT17,"")</f>
        <v/>
      </c>
      <c r="D17" s="97" t="str">
        <f>IF(Table!BU17&lt;&gt;"",Table!BU17,"")</f>
        <v/>
      </c>
      <c r="E17" s="97" t="str">
        <f>IF(Table!BV17&lt;&gt;"",Table!BV17,"")</f>
        <v/>
      </c>
      <c r="F17" s="149" t="str">
        <f t="shared" si="0"/>
        <v/>
      </c>
      <c r="G17" s="264" t="str">
        <f t="shared" si="1"/>
        <v/>
      </c>
      <c r="H17" s="166" t="str">
        <f>IF(AND(ספיקות!C16&lt;&gt;"",'איכות שפכים'!C16&lt;&gt;"",D17&lt;&gt;"",Table!CS17&lt;&gt;""),(ספיקות!C16*'איכות שפכים'!C16/1000)/(D17/1000*Table!CS17), "")</f>
        <v/>
      </c>
      <c r="I17" s="157" t="str">
        <f>IF(Table!BR17&lt;&gt;"",Table!BR17,"")</f>
        <v/>
      </c>
      <c r="J17" s="166" t="str">
        <f>IF(Table!BS17&lt;&gt;"",Table!BS17,"")</f>
        <v/>
      </c>
      <c r="K17" s="227">
        <f>IF(Table!BY17&lt;&gt;"",Table!BY17,"")</f>
        <v>3992</v>
      </c>
      <c r="L17" s="229">
        <f>IF(Table!BZ17&lt;&gt;"",Table!BZ17,"")</f>
        <v>3334</v>
      </c>
      <c r="M17" s="229">
        <f>IF(Table!CA17&lt;&gt;"",Table!CA17,"")</f>
        <v>368.69565217391306</v>
      </c>
      <c r="N17" s="149">
        <f t="shared" si="2"/>
        <v>92.358630304086446</v>
      </c>
      <c r="O17" s="264">
        <f t="shared" si="3"/>
        <v>0.83517034068136276</v>
      </c>
      <c r="P17" s="166">
        <f>IF(AND(ספיקות!C16&lt;&gt;"",'איכות שפכים'!C16&lt;&gt;"",L17&lt;&gt;"",Table!CS17&lt;&gt;""),(ספיקות!C16*'איכות שפכים'!C16/1000)/(L17/1000*Table!CS17), "")</f>
        <v>8.6622050589882038E-2</v>
      </c>
      <c r="Q17" s="157">
        <f>IF(Table!BW17&lt;&gt;"",Table!BW17,"")</f>
        <v>1.8</v>
      </c>
      <c r="R17" s="166">
        <f>IF(Table!BX17&lt;&gt;"",Table!BX17,"")</f>
        <v>1.8</v>
      </c>
    </row>
    <row r="18" spans="1:18" ht="13.5" thickBot="1" x14ac:dyDescent="0.25">
      <c r="A18" s="385" t="str">
        <f>IF(Table!A18&lt;&gt;"",Table!A18,"")</f>
        <v>דצמבר</v>
      </c>
      <c r="B18" s="92"/>
      <c r="C18" s="227" t="str">
        <f>IF(Table!BT18&lt;&gt;"",Table!BT18,"")</f>
        <v/>
      </c>
      <c r="D18" s="97" t="str">
        <f>IF(Table!BU18&lt;&gt;"",Table!BU18,"")</f>
        <v/>
      </c>
      <c r="E18" s="97" t="str">
        <f>IF(Table!BV18&lt;&gt;"",Table!BV18,"")</f>
        <v/>
      </c>
      <c r="F18" s="149" t="str">
        <f t="shared" si="0"/>
        <v/>
      </c>
      <c r="G18" s="264" t="str">
        <f t="shared" si="1"/>
        <v/>
      </c>
      <c r="H18" s="166" t="str">
        <f>IF(AND(ספיקות!C17&lt;&gt;"",'איכות שפכים'!C17&lt;&gt;"",D18&lt;&gt;"",Table!CS18&lt;&gt;""),(ספיקות!C17*'איכות שפכים'!C17/1000)/(D18/1000*Table!CS18), "")</f>
        <v/>
      </c>
      <c r="I18" s="157" t="str">
        <f>IF(Table!BR18&lt;&gt;"",Table!BR18,"")</f>
        <v/>
      </c>
      <c r="J18" s="166" t="str">
        <f>IF(Table!BS18&lt;&gt;"",Table!BS18,"")</f>
        <v/>
      </c>
      <c r="K18" s="227">
        <f>IF(Table!BY18&lt;&gt;"",Table!BY18,"")</f>
        <v>4620</v>
      </c>
      <c r="L18" s="229">
        <f>IF(Table!BZ18&lt;&gt;"",Table!BZ18,"")</f>
        <v>3921</v>
      </c>
      <c r="M18" s="229">
        <f>IF(Table!CA18&lt;&gt;"",Table!CA18,"")</f>
        <v>370</v>
      </c>
      <c r="N18" s="149">
        <f t="shared" si="2"/>
        <v>80.086580086580085</v>
      </c>
      <c r="O18" s="264">
        <f t="shared" si="3"/>
        <v>0.84870129870129873</v>
      </c>
      <c r="P18" s="166">
        <f>IF(AND(ספיקות!C17&lt;&gt;"",'איכות שפכים'!C17&lt;&gt;"",L18&lt;&gt;"",Table!CS18&lt;&gt;""),(ספיקות!C17*'איכות שפכים'!C17/1000)/(L18/1000*Table!CS18), "")</f>
        <v>7.8725566668860547E-2</v>
      </c>
      <c r="Q18" s="157">
        <f>IF(Table!BW18&lt;&gt;"",Table!BW18,"")</f>
        <v>1.8</v>
      </c>
      <c r="R18" s="166">
        <f>IF(Table!BX18&lt;&gt;"",Table!BX18,"")</f>
        <v>1.8</v>
      </c>
    </row>
    <row r="19" spans="1:18" x14ac:dyDescent="0.2">
      <c r="A19" s="666" t="s">
        <v>203</v>
      </c>
      <c r="B19" s="667"/>
      <c r="C19" s="103"/>
      <c r="D19" s="168"/>
      <c r="E19" s="168"/>
      <c r="F19" s="168"/>
      <c r="G19" s="265"/>
      <c r="H19" s="266"/>
      <c r="I19" s="214"/>
      <c r="J19" s="215"/>
      <c r="K19" s="103"/>
      <c r="L19" s="168"/>
      <c r="M19" s="168"/>
      <c r="N19" s="168"/>
      <c r="O19" s="265"/>
      <c r="P19" s="266"/>
      <c r="Q19" s="214"/>
      <c r="R19" s="215"/>
    </row>
    <row r="20" spans="1:18" x14ac:dyDescent="0.2">
      <c r="A20" s="659" t="s">
        <v>3</v>
      </c>
      <c r="B20" s="660"/>
      <c r="C20" s="112" t="e">
        <f t="shared" ref="C20:J20" si="4">AVERAGE(C7:C18)</f>
        <v>#DIV/0!</v>
      </c>
      <c r="D20" s="179" t="e">
        <f t="shared" si="4"/>
        <v>#DIV/0!</v>
      </c>
      <c r="E20" s="179" t="e">
        <f t="shared" si="4"/>
        <v>#DIV/0!</v>
      </c>
      <c r="F20" s="179" t="e">
        <f t="shared" si="4"/>
        <v>#DIV/0!</v>
      </c>
      <c r="G20" s="267" t="e">
        <f t="shared" si="4"/>
        <v>#DIV/0!</v>
      </c>
      <c r="H20" s="268" t="e">
        <f t="shared" si="4"/>
        <v>#DIV/0!</v>
      </c>
      <c r="I20" s="181" t="e">
        <f t="shared" si="4"/>
        <v>#DIV/0!</v>
      </c>
      <c r="J20" s="120" t="e">
        <f t="shared" si="4"/>
        <v>#DIV/0!</v>
      </c>
      <c r="K20" s="112">
        <v>3602.5</v>
      </c>
      <c r="L20" s="179">
        <v>2752.2857142857142</v>
      </c>
      <c r="M20" s="179">
        <v>390.45454545454544</v>
      </c>
      <c r="N20" s="179">
        <v>111.47046978586845</v>
      </c>
      <c r="O20" s="267">
        <v>0.77561268748532541</v>
      </c>
      <c r="P20" s="268">
        <v>0.13826485809969363</v>
      </c>
      <c r="Q20" s="181">
        <v>1.1636363636363638</v>
      </c>
      <c r="R20" s="120">
        <v>1.259090909090909</v>
      </c>
    </row>
    <row r="21" spans="1:18" x14ac:dyDescent="0.2">
      <c r="A21" s="659" t="s">
        <v>17</v>
      </c>
      <c r="B21" s="660"/>
      <c r="C21" s="112">
        <f t="shared" ref="C21:R21" si="5">MAX(C7:C18)</f>
        <v>0</v>
      </c>
      <c r="D21" s="179">
        <f t="shared" si="5"/>
        <v>0</v>
      </c>
      <c r="E21" s="179">
        <f t="shared" si="5"/>
        <v>0</v>
      </c>
      <c r="F21" s="179">
        <f t="shared" si="5"/>
        <v>0</v>
      </c>
      <c r="G21" s="267">
        <f t="shared" si="5"/>
        <v>0</v>
      </c>
      <c r="H21" s="268">
        <f t="shared" si="5"/>
        <v>0</v>
      </c>
      <c r="I21" s="181">
        <f t="shared" si="5"/>
        <v>0</v>
      </c>
      <c r="J21" s="120">
        <f t="shared" si="5"/>
        <v>0</v>
      </c>
      <c r="K21" s="112">
        <f t="shared" si="5"/>
        <v>4620</v>
      </c>
      <c r="L21" s="179">
        <f t="shared" si="5"/>
        <v>3921</v>
      </c>
      <c r="M21" s="179">
        <f t="shared" si="5"/>
        <v>390.45454545454544</v>
      </c>
      <c r="N21" s="179">
        <f t="shared" si="5"/>
        <v>138.90911208829613</v>
      </c>
      <c r="O21" s="267">
        <f t="shared" si="5"/>
        <v>0.84870129870129873</v>
      </c>
      <c r="P21" s="268">
        <f t="shared" si="5"/>
        <v>0.16513126365713149</v>
      </c>
      <c r="Q21" s="181">
        <f t="shared" si="5"/>
        <v>1.8</v>
      </c>
      <c r="R21" s="120">
        <f t="shared" si="5"/>
        <v>1.8</v>
      </c>
    </row>
    <row r="22" spans="1:18" ht="13.5" thickBot="1" x14ac:dyDescent="0.25">
      <c r="A22" s="664" t="s">
        <v>18</v>
      </c>
      <c r="B22" s="665"/>
      <c r="C22" s="121">
        <f t="shared" ref="C22:R22" si="6">MIN(C7:C18)</f>
        <v>0</v>
      </c>
      <c r="D22" s="190">
        <f t="shared" si="6"/>
        <v>0</v>
      </c>
      <c r="E22" s="190">
        <f t="shared" si="6"/>
        <v>0</v>
      </c>
      <c r="F22" s="190">
        <f t="shared" si="6"/>
        <v>0</v>
      </c>
      <c r="G22" s="269">
        <f t="shared" si="6"/>
        <v>0</v>
      </c>
      <c r="H22" s="270">
        <f t="shared" si="6"/>
        <v>0</v>
      </c>
      <c r="I22" s="192">
        <f t="shared" si="6"/>
        <v>0</v>
      </c>
      <c r="J22" s="129">
        <f t="shared" si="6"/>
        <v>0</v>
      </c>
      <c r="K22" s="121">
        <f t="shared" si="6"/>
        <v>2609.1999999999998</v>
      </c>
      <c r="L22" s="190">
        <f t="shared" si="6"/>
        <v>2050.8888888888887</v>
      </c>
      <c r="M22" s="190">
        <f t="shared" si="6"/>
        <v>358.63636363636363</v>
      </c>
      <c r="N22" s="190">
        <f t="shared" si="6"/>
        <v>80.086580086580085</v>
      </c>
      <c r="O22" s="269">
        <f t="shared" si="6"/>
        <v>0.69758406929347827</v>
      </c>
      <c r="P22" s="270">
        <f t="shared" si="6"/>
        <v>7.8725566668860547E-2</v>
      </c>
      <c r="Q22" s="192">
        <f t="shared" si="6"/>
        <v>1.1636363636363638</v>
      </c>
      <c r="R22" s="129">
        <f t="shared" si="6"/>
        <v>1.259090909090909</v>
      </c>
    </row>
    <row r="23" spans="1:18" x14ac:dyDescent="0.2">
      <c r="C23" s="271"/>
      <c r="G23" s="272"/>
      <c r="K23" s="271"/>
      <c r="O23" s="272"/>
    </row>
    <row r="24" spans="1:18" x14ac:dyDescent="0.2">
      <c r="G24" s="272"/>
      <c r="O24" s="272"/>
    </row>
    <row r="25" spans="1:18" x14ac:dyDescent="0.2">
      <c r="G25" s="272"/>
      <c r="O25" s="272"/>
    </row>
    <row r="26" spans="1:18" x14ac:dyDescent="0.2">
      <c r="G26" s="272"/>
      <c r="O26" s="272"/>
    </row>
    <row r="27" spans="1:18" x14ac:dyDescent="0.2">
      <c r="G27" s="272"/>
      <c r="O27" s="272"/>
    </row>
    <row r="28" spans="1:18" x14ac:dyDescent="0.2">
      <c r="G28" s="272"/>
      <c r="O28" s="272"/>
    </row>
    <row r="29" spans="1:18" x14ac:dyDescent="0.2">
      <c r="G29" s="272"/>
      <c r="O29" s="272"/>
    </row>
    <row r="30" spans="1:18" x14ac:dyDescent="0.2">
      <c r="G30" s="272"/>
      <c r="O30" s="272"/>
    </row>
  </sheetData>
  <sheetProtection formatCells="0" formatColumns="0" formatRows="0"/>
  <mergeCells count="22">
    <mergeCell ref="A2:D2"/>
    <mergeCell ref="A4:B4"/>
    <mergeCell ref="A5:A6"/>
    <mergeCell ref="B5:B6"/>
    <mergeCell ref="P5:P6"/>
    <mergeCell ref="K6:L6"/>
    <mergeCell ref="I6:J6"/>
    <mergeCell ref="E2:R2"/>
    <mergeCell ref="Q4:R4"/>
    <mergeCell ref="Q6:R6"/>
    <mergeCell ref="A20:B20"/>
    <mergeCell ref="A21:B21"/>
    <mergeCell ref="K3:R3"/>
    <mergeCell ref="K4:P4"/>
    <mergeCell ref="A22:B22"/>
    <mergeCell ref="C3:J3"/>
    <mergeCell ref="A3:B3"/>
    <mergeCell ref="A19:B19"/>
    <mergeCell ref="H5:H6"/>
    <mergeCell ref="I4:J4"/>
    <mergeCell ref="C6:D6"/>
    <mergeCell ref="C4:H4"/>
  </mergeCells>
  <phoneticPr fontId="6" type="noConversion"/>
  <printOptions horizontalCentered="1" verticalCentered="1"/>
  <pageMargins left="0.23622047244094491" right="0.23622047244094491" top="0.56000000000000005" bottom="0.51" header="0.28000000000000003" footer="0.32"/>
  <pageSetup paperSize="9" scale="95" orientation="landscape" horizontalDpi="300" verticalDpi="300" r:id="rId1"/>
  <headerFooter alignWithMargins="0">
    <oddHeader>&amp;C&amp;20&amp;Xא.ל.ד איכות הסביבה</oddHeader>
    <oddFooter>&amp;C&amp;16&amp;Yמכון טיהור שפכים להבים</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גיליון8"/>
  <dimension ref="A1:R22"/>
  <sheetViews>
    <sheetView showGridLines="0" showZeros="0" rightToLeft="1" workbookViewId="0">
      <pane xSplit="2" ySplit="6" topLeftCell="E7" activePane="bottomRight" state="frozenSplit"/>
      <selection pane="topRight" activeCell="B1" sqref="B1"/>
      <selection pane="bottomLeft" activeCell="A8" sqref="A8"/>
      <selection pane="bottomRight" activeCell="K17" sqref="K17"/>
    </sheetView>
  </sheetViews>
  <sheetFormatPr defaultColWidth="9.140625" defaultRowHeight="12.75" x14ac:dyDescent="0.2"/>
  <cols>
    <col min="1" max="1" width="7.140625" style="82" bestFit="1" customWidth="1"/>
    <col min="2" max="2" width="36.5703125" style="82" customWidth="1"/>
    <col min="3" max="3" width="7" style="82" customWidth="1"/>
    <col min="4" max="4" width="7.5703125" style="82" customWidth="1"/>
    <col min="5" max="5" width="9.5703125" style="82" customWidth="1"/>
    <col min="6" max="6" width="17.28515625" style="82" bestFit="1" customWidth="1"/>
    <col min="7" max="7" width="12.42578125" style="82" bestFit="1" customWidth="1"/>
    <col min="8" max="9" width="10.85546875" style="82" customWidth="1"/>
    <col min="10" max="10" width="8.5703125" style="82" customWidth="1"/>
    <col min="11" max="11" width="7.5703125" style="82" customWidth="1"/>
    <col min="12" max="12" width="12.7109375" style="82" bestFit="1" customWidth="1"/>
    <col min="13" max="13" width="8.140625" style="82" customWidth="1"/>
    <col min="14" max="14" width="9.140625" style="82" customWidth="1"/>
    <col min="15" max="15" width="8" style="82" customWidth="1"/>
    <col min="16" max="16" width="12.140625" style="330" customWidth="1"/>
    <col min="17" max="17" width="7" style="330" hidden="1" customWidth="1"/>
    <col min="18" max="18" width="7" style="330" customWidth="1"/>
    <col min="19" max="16384" width="9.140625" style="82"/>
  </cols>
  <sheetData>
    <row r="1" spans="1:18" ht="13.5" thickBot="1" x14ac:dyDescent="0.25">
      <c r="G1" s="306"/>
      <c r="H1" s="306"/>
      <c r="I1" s="306"/>
      <c r="J1" s="306"/>
      <c r="K1" s="306"/>
      <c r="L1" s="306"/>
      <c r="M1" s="306"/>
      <c r="P1" s="82"/>
      <c r="Q1" s="82"/>
      <c r="R1" s="82"/>
    </row>
    <row r="2" spans="1:18" ht="13.5" thickBot="1" x14ac:dyDescent="0.25">
      <c r="A2" s="634" t="s">
        <v>238</v>
      </c>
      <c r="B2" s="622"/>
      <c r="C2" s="622"/>
      <c r="D2" s="623"/>
      <c r="E2" s="408"/>
      <c r="F2" s="408"/>
      <c r="G2" s="624" t="s">
        <v>164</v>
      </c>
      <c r="H2" s="625"/>
      <c r="I2" s="625"/>
      <c r="J2" s="625"/>
      <c r="K2" s="625"/>
      <c r="L2" s="625"/>
      <c r="M2" s="625"/>
      <c r="N2" s="625"/>
      <c r="O2" s="625"/>
      <c r="P2" s="625"/>
      <c r="Q2" s="625"/>
      <c r="R2" s="626"/>
    </row>
    <row r="3" spans="1:18" ht="13.5" customHeight="1" thickBot="1" x14ac:dyDescent="0.25">
      <c r="A3" s="656" t="s">
        <v>42</v>
      </c>
      <c r="B3" s="684"/>
      <c r="C3" s="633" t="s">
        <v>95</v>
      </c>
      <c r="D3" s="627"/>
      <c r="E3" s="627"/>
      <c r="F3" s="627"/>
      <c r="G3" s="627"/>
      <c r="H3" s="639"/>
      <c r="I3" s="687" t="s">
        <v>200</v>
      </c>
      <c r="J3" s="688"/>
      <c r="K3" s="688"/>
      <c r="L3" s="688"/>
      <c r="M3" s="688"/>
      <c r="N3" s="688"/>
      <c r="O3" s="688"/>
      <c r="P3" s="689"/>
      <c r="Q3" s="307" t="s">
        <v>19</v>
      </c>
      <c r="R3" s="308" t="s">
        <v>0</v>
      </c>
    </row>
    <row r="4" spans="1:18" ht="13.5" customHeight="1" thickBot="1" x14ac:dyDescent="0.25">
      <c r="A4" s="674" t="s">
        <v>166</v>
      </c>
      <c r="B4" s="675"/>
      <c r="C4" s="672"/>
      <c r="D4" s="680"/>
      <c r="E4" s="90"/>
      <c r="F4" s="685" t="s">
        <v>217</v>
      </c>
      <c r="G4" s="425" t="s">
        <v>87</v>
      </c>
      <c r="H4" s="630" t="s">
        <v>199</v>
      </c>
      <c r="I4" s="226"/>
      <c r="J4" s="661" t="s">
        <v>26</v>
      </c>
      <c r="K4" s="662"/>
      <c r="L4" s="662"/>
      <c r="M4" s="662"/>
      <c r="N4" s="662"/>
      <c r="O4" s="662"/>
      <c r="P4" s="677" t="s">
        <v>201</v>
      </c>
      <c r="Q4" s="677" t="s">
        <v>21</v>
      </c>
      <c r="R4" s="682" t="s">
        <v>22</v>
      </c>
    </row>
    <row r="5" spans="1:18" ht="26.25" thickBot="1" x14ac:dyDescent="0.25">
      <c r="A5" s="657" t="s">
        <v>1</v>
      </c>
      <c r="B5" s="630" t="s">
        <v>16</v>
      </c>
      <c r="C5" s="309" t="s">
        <v>23</v>
      </c>
      <c r="D5" s="310" t="s">
        <v>30</v>
      </c>
      <c r="E5" s="424" t="s">
        <v>216</v>
      </c>
      <c r="F5" s="686"/>
      <c r="G5" s="409" t="s">
        <v>94</v>
      </c>
      <c r="H5" s="681"/>
      <c r="I5" s="432" t="s">
        <v>218</v>
      </c>
      <c r="J5" s="258" t="s">
        <v>23</v>
      </c>
      <c r="K5" s="311" t="s">
        <v>30</v>
      </c>
      <c r="L5" s="312" t="s">
        <v>141</v>
      </c>
      <c r="M5" s="134" t="s">
        <v>128</v>
      </c>
      <c r="N5" s="134" t="s">
        <v>126</v>
      </c>
      <c r="O5" s="257" t="s">
        <v>137</v>
      </c>
      <c r="P5" s="678"/>
      <c r="Q5" s="678"/>
      <c r="R5" s="683"/>
    </row>
    <row r="6" spans="1:18" ht="13.5" thickBot="1" x14ac:dyDescent="0.25">
      <c r="A6" s="658"/>
      <c r="B6" s="631"/>
      <c r="C6" s="88" t="s">
        <v>10</v>
      </c>
      <c r="D6" s="84" t="s">
        <v>10</v>
      </c>
      <c r="E6" s="418" t="s">
        <v>10</v>
      </c>
      <c r="F6" s="422" t="s">
        <v>10</v>
      </c>
      <c r="G6" s="142" t="s">
        <v>9</v>
      </c>
      <c r="H6" s="631"/>
      <c r="I6" s="433" t="s">
        <v>10</v>
      </c>
      <c r="J6" s="411" t="s">
        <v>10</v>
      </c>
      <c r="K6" s="89" t="s">
        <v>10</v>
      </c>
      <c r="L6" s="84" t="s">
        <v>35</v>
      </c>
      <c r="M6" s="679" t="s">
        <v>59</v>
      </c>
      <c r="N6" s="680"/>
      <c r="O6" s="680"/>
      <c r="P6" s="351" t="s">
        <v>202</v>
      </c>
      <c r="Q6" s="350" t="s">
        <v>20</v>
      </c>
      <c r="R6" s="313" t="s">
        <v>20</v>
      </c>
    </row>
    <row r="7" spans="1:18" x14ac:dyDescent="0.2">
      <c r="A7" s="385" t="str">
        <f>IF(Table!A7&lt;&gt;"",Table!A7,"")</f>
        <v>ינואר</v>
      </c>
      <c r="B7" s="92"/>
      <c r="C7" s="217">
        <v>5.9924999999999997</v>
      </c>
      <c r="D7" s="218">
        <v>1.8975</v>
      </c>
      <c r="E7" s="419">
        <v>0.60183265721209178</v>
      </c>
      <c r="F7" s="423">
        <v>0</v>
      </c>
      <c r="G7" s="423"/>
      <c r="H7" s="537">
        <v>0.66767493959324442</v>
      </c>
      <c r="I7" s="536">
        <v>18.2</v>
      </c>
      <c r="J7" s="426">
        <v>11.0175</v>
      </c>
      <c r="K7" s="427">
        <v>0.69972527472527468</v>
      </c>
      <c r="L7" s="314">
        <v>0</v>
      </c>
      <c r="M7" s="315">
        <v>0</v>
      </c>
      <c r="N7" s="314">
        <v>0</v>
      </c>
      <c r="O7" s="314">
        <v>0</v>
      </c>
      <c r="P7" s="316">
        <v>19.559999999999999</v>
      </c>
      <c r="Q7" s="316"/>
      <c r="R7" s="317">
        <v>3.1</v>
      </c>
    </row>
    <row r="8" spans="1:18" x14ac:dyDescent="0.2">
      <c r="A8" s="385" t="str">
        <f>IF(Table!A8&lt;&gt;"",Table!A8,"")</f>
        <v>פברואר</v>
      </c>
      <c r="B8" s="92"/>
      <c r="C8" s="217">
        <f>IF(Table!CB8&lt;&gt;"",Table!CB8,"")</f>
        <v>1.8125</v>
      </c>
      <c r="D8" s="218">
        <f>IF(Table!CC8&lt;&gt;"",Table!CC8,"")</f>
        <v>1.3824999999999998</v>
      </c>
      <c r="E8" s="419">
        <f t="shared" ref="E8:E16" si="0">IF(AND(D8&lt;&gt;"",C8&lt;&gt;""),D8/C8,"")</f>
        <v>0.76275862068965505</v>
      </c>
      <c r="F8" s="423">
        <f>IF(AND('יחידת טיפול '!O8&lt;&gt;"",E8&lt;&gt;""),('יחידת טיפול '!O8-E8)/('יחידת טיפול '!O8-'יחידת טיפול '!O8*E8),"")</f>
        <v>6.6522606720149757E-2</v>
      </c>
      <c r="G8" s="423">
        <f>IF(AND('יחידת טיפול '!P8&lt;&gt;"",F8&lt;&gt;""),('יחידת טיפול '!P8-F8)/('יחידת טיפול '!P8-'יחידת טיפול '!P8*F8),"")</f>
        <v>0.52745672884901584</v>
      </c>
      <c r="H8" s="423">
        <f>IF(AND('יחידת טיפול '!Q8&lt;&gt;"",G8&lt;&gt;""),('יחידת טיפול '!Q8-G8)/('יחידת טיפול '!Q8-'יחידת טיפול '!Q8*G8),"")</f>
        <v>1.4960925848140638</v>
      </c>
      <c r="I8" s="264"/>
      <c r="J8" s="426">
        <f>IF(Table!CG8&lt;&gt;"",Table!CG8,"")</f>
        <v>0</v>
      </c>
      <c r="K8" s="428">
        <f>IF(Table!CH8&lt;&gt;"",Table!CH8,"")</f>
        <v>0</v>
      </c>
      <c r="L8" s="318">
        <f>IF(Table!CI8&lt;&gt;"",Table!CI8,"")</f>
        <v>0</v>
      </c>
      <c r="M8" s="230">
        <f>IF(Table!CJ8&lt;&gt;"",Table!CJ8,"")</f>
        <v>0</v>
      </c>
      <c r="N8" s="318">
        <f>IF(Table!CK8&lt;&gt;"",Table!CK8,"")</f>
        <v>0</v>
      </c>
      <c r="O8" s="318">
        <f>IF(Table!CM8&lt;&gt;"",Table!CM8,"")</f>
        <v>0</v>
      </c>
      <c r="P8" s="319">
        <f>IF(Table!CO8&lt;&gt;"",Table!CO8,"")</f>
        <v>0</v>
      </c>
      <c r="Q8" s="319">
        <f>IF(Table!CP8&lt;&gt;"",Table!CP8,"")</f>
        <v>0</v>
      </c>
      <c r="R8" s="320">
        <f>IF(Table!CQ8&lt;&gt;"",Table!CQ8,"")</f>
        <v>1.86</v>
      </c>
    </row>
    <row r="9" spans="1:18" x14ac:dyDescent="0.2">
      <c r="A9" s="385" t="str">
        <f>IF(Table!A9&lt;&gt;"",Table!A9,"")</f>
        <v>מרץ</v>
      </c>
      <c r="B9" s="92"/>
      <c r="C9" s="217">
        <f>IF(Table!CB9&lt;&gt;"",Table!CB9,"")</f>
        <v>2.09</v>
      </c>
      <c r="D9" s="218">
        <f>IF(Table!CC9&lt;&gt;"",Table!CC9,"")</f>
        <v>1.645</v>
      </c>
      <c r="E9" s="419">
        <f t="shared" si="0"/>
        <v>0.78708133971291872</v>
      </c>
      <c r="F9" s="423">
        <f>IF(AND('יחידת טיפול '!O9&lt;&gt;"",E9&lt;&gt;""),('יחידת טיפול '!O9-E9)/('יחידת טיפול '!O9-'יחידת טיפול '!O9*E9),"")</f>
        <v>6.1275049786383061E-2</v>
      </c>
      <c r="G9" s="423">
        <f>IF(AND('יחידת טיפול '!P9&lt;&gt;"",F9&lt;&gt;""),('יחידת טיפול '!P9-F9)/('יחידת טיפול '!P9-'יחידת טיפול '!P9*F9),"")</f>
        <v>0.44883687685638152</v>
      </c>
      <c r="H9" s="423">
        <f>IF(AND('יחידת טיפול '!Q9&lt;&gt;"",G9&lt;&gt;""),('יחידת טיפול '!Q9-G9)/('יחידת טיפול '!Q9-'יחידת טיפול '!Q9*G9),"")</f>
        <v>1.3619310654218679</v>
      </c>
      <c r="I9" s="264"/>
      <c r="J9" s="426">
        <f>IF(Table!CG9&lt;&gt;"",Table!CG9,"")</f>
        <v>0</v>
      </c>
      <c r="K9" s="428">
        <f>IF(Table!CH9&lt;&gt;"",Table!CH9,"")</f>
        <v>0</v>
      </c>
      <c r="L9" s="318">
        <f>IF(Table!CI9&lt;&gt;"",Table!CI9,"")</f>
        <v>0</v>
      </c>
      <c r="M9" s="230">
        <f>IF(Table!CJ9&lt;&gt;"",Table!CJ9,"")</f>
        <v>0</v>
      </c>
      <c r="N9" s="318">
        <f>IF(Table!CK9&lt;&gt;"",Table!CK9,"")</f>
        <v>0</v>
      </c>
      <c r="O9" s="318">
        <f>IF(Table!CM9&lt;&gt;"",Table!CM9,"")</f>
        <v>0</v>
      </c>
      <c r="P9" s="319">
        <f>IF(Table!CO9&lt;&gt;"",Table!CO9,"")</f>
        <v>0</v>
      </c>
      <c r="Q9" s="319">
        <f>IF(Table!CP9&lt;&gt;"",Table!CP9,"")</f>
        <v>0</v>
      </c>
      <c r="R9" s="320">
        <f>IF(Table!CQ9&lt;&gt;"",Table!CQ9,"")</f>
        <v>2.48</v>
      </c>
    </row>
    <row r="10" spans="1:18" x14ac:dyDescent="0.2">
      <c r="A10" s="385" t="str">
        <f>IF(Table!A10&lt;&gt;"",Table!A10,"")</f>
        <v>אפריל</v>
      </c>
      <c r="B10" s="92"/>
      <c r="C10" s="217">
        <f>IF(Table!CB10&lt;&gt;"",Table!CB10,"")</f>
        <v>1.1194333333333333</v>
      </c>
      <c r="D10" s="218">
        <f>IF(Table!CC10&lt;&gt;"",Table!CC10,"")</f>
        <v>0.84333333333333327</v>
      </c>
      <c r="E10" s="419">
        <f t="shared" si="0"/>
        <v>0.7533573534228627</v>
      </c>
      <c r="F10" s="423">
        <f>IF(AND('יחידת טיפול '!O10&lt;&gt;"",E10&lt;&gt;""),('יחידת טיפול '!O10-E10)/('יחידת טיפול '!O10-'יחידת טיפול '!O10*E10),"")</f>
        <v>0.1014380013805435</v>
      </c>
      <c r="G10" s="423">
        <f>IF(AND('יחידת טיפול '!P10&lt;&gt;"",F10&lt;&gt;""),('יחידת טיפול '!P10-F10)/('יחידת טיפול '!P10-'יחידת טיפול '!P10*F10),"")</f>
        <v>0.42925576971081975</v>
      </c>
      <c r="H10" s="423">
        <f>IF(AND('יחידת טיפול '!Q10&lt;&gt;"",G10&lt;&gt;""),('יחידת טיפול '!Q10-G10)/('יחידת טיפול '!Q10-'יחידת טיפול '!Q10*G10),"")</f>
        <v>1.3342659145183731</v>
      </c>
      <c r="I10" s="264"/>
      <c r="J10" s="426">
        <f>IF(Table!CG10&lt;&gt;"",Table!CG10,"")</f>
        <v>0</v>
      </c>
      <c r="K10" s="428">
        <f>IF(Table!CH10&lt;&gt;"",Table!CH10,"")</f>
        <v>0</v>
      </c>
      <c r="L10" s="318">
        <f>IF(Table!CI10&lt;&gt;"",Table!CI10,"")</f>
        <v>0</v>
      </c>
      <c r="M10" s="230">
        <f>IF(Table!CJ10&lt;&gt;"",Table!CJ10,"")</f>
        <v>0</v>
      </c>
      <c r="N10" s="318">
        <f>IF(Table!CK10&lt;&gt;"",Table!CK10,"")</f>
        <v>0</v>
      </c>
      <c r="O10" s="318">
        <f>IF(Table!CM10&lt;&gt;"",Table!CM10,"")</f>
        <v>0</v>
      </c>
      <c r="P10" s="319">
        <f>IF(Table!CO10&lt;&gt;"",Table!CO10,"")</f>
        <v>16.760000000000002</v>
      </c>
      <c r="Q10" s="319">
        <f>IF(Table!CP10&lt;&gt;"",Table!CP10,"")</f>
        <v>0</v>
      </c>
      <c r="R10" s="320"/>
    </row>
    <row r="11" spans="1:18" x14ac:dyDescent="0.2">
      <c r="A11" s="385" t="str">
        <f>IF(Table!A11&lt;&gt;"",Table!A11,"")</f>
        <v>מאי</v>
      </c>
      <c r="B11" s="92"/>
      <c r="C11" s="217">
        <f>IF(Table!CB11&lt;&gt;"",Table!CB11,"")</f>
        <v>2.1</v>
      </c>
      <c r="D11" s="218">
        <f>IF(Table!CC11&lt;&gt;"",Table!CC11,"")</f>
        <v>1.6119999999999997</v>
      </c>
      <c r="E11" s="419">
        <f t="shared" si="0"/>
        <v>0.76761904761904742</v>
      </c>
      <c r="F11" s="423">
        <f>IF(AND('יחידת טיפול '!O11&lt;&gt;"",E11&lt;&gt;""),('יחידת טיפול '!O11-E11)/('יחידת טיפול '!O11-'יחידת טיפול '!O11*E11),"")</f>
        <v>-0.15808249178034534</v>
      </c>
      <c r="G11" s="423">
        <f>IF(AND('יחידת טיפול '!P11&lt;&gt;"",F11&lt;&gt;""),('יחידת טיפול '!P11-F11)/('יחידת טיפול '!P11-'יחידת טיפול '!P11*F11),"")</f>
        <v>2.0416985431351682</v>
      </c>
      <c r="H11" s="423">
        <f>IF(AND('יחידת טיפול '!Q11&lt;&gt;"",G11&lt;&gt;""),('יחידת טיפול '!Q11-G11)/('יחידת טיפול '!Q11-'יחידת טיפול '!Q11*G11),"")</f>
        <v>0.1289019450908489</v>
      </c>
      <c r="I11" s="264">
        <f t="shared" ref="I11:I17" si="1">IF(K11&lt;&gt;"",IF(J11&lt;&gt;"",K11/J11,""),"")</f>
        <v>0.73142857142857143</v>
      </c>
      <c r="J11" s="426">
        <f>IF(Table!CG11&lt;&gt;"",Table!CG11,"")</f>
        <v>17.5</v>
      </c>
      <c r="K11" s="428">
        <f>IF(Table!CH11&lt;&gt;"",Table!CH11,"")</f>
        <v>12.8</v>
      </c>
      <c r="L11" s="318">
        <f>IF(Table!CI11&lt;&gt;"",Table!CI11,"")</f>
        <v>0</v>
      </c>
      <c r="M11" s="230">
        <f>IF(Table!CJ11&lt;&gt;"",Table!CJ11,"")</f>
        <v>10627</v>
      </c>
      <c r="N11" s="318">
        <f>IF(Table!CK11&lt;&gt;"",Table!CK11,"")</f>
        <v>840</v>
      </c>
      <c r="O11" s="318">
        <f>IF(Table!CM11&lt;&gt;"",Table!CM11,"")</f>
        <v>9866</v>
      </c>
      <c r="P11" s="319">
        <f>IF(Table!CO11&lt;&gt;"",Table!CO11,"")</f>
        <v>18.940000000000001</v>
      </c>
      <c r="Q11" s="319">
        <f>IF(Table!CP11&lt;&gt;"",Table!CP11,"")</f>
        <v>0</v>
      </c>
      <c r="R11" s="320">
        <f>IF(Table!CQ11&lt;&gt;"",Table!CQ11,"")</f>
        <v>2.14</v>
      </c>
    </row>
    <row r="12" spans="1:18" x14ac:dyDescent="0.2">
      <c r="A12" s="385" t="str">
        <f>IF(Table!A12&lt;&gt;"",Table!A12,"")</f>
        <v>יוני</v>
      </c>
      <c r="B12" s="92"/>
      <c r="C12" s="217">
        <f>IF(Table!CB12&lt;&gt;"",Table!CB12,"")</f>
        <v>2.3795000000000002</v>
      </c>
      <c r="D12" s="218">
        <f>IF(Table!CC12&lt;&gt;"",Table!CC12,"")</f>
        <v>1.7656666666666669</v>
      </c>
      <c r="E12" s="419">
        <f t="shared" si="0"/>
        <v>0.7420326399103454</v>
      </c>
      <c r="F12" s="423">
        <f>IF(AND('יחידת טיפול '!O12&lt;&gt;"",E12&lt;&gt;""),('יחידת טיפול '!O12-E12)/('יחידת טיפול '!O12-'יחידת טיפול '!O12*E12),"")</f>
        <v>-0.24699973426639851</v>
      </c>
      <c r="G12" s="423">
        <f>IF(AND('יחידת טיפול '!P12&lt;&gt;"",F12&lt;&gt;""),('יחידת טיפול '!P12-F12)/('יחידת טיפול '!P12-'יחידת טיפול '!P12*F12),"")</f>
        <v>2.3532888670758321</v>
      </c>
      <c r="H12" s="423">
        <f>IF(AND('יחידת טיפול '!Q12&lt;&gt;"",G12&lt;&gt;""),('יחידת טיפול '!Q12-G12)/('יחידת טיפול '!Q12-'יחידת טיפול '!Q12*G12),"")</f>
        <v>0.22713753981824006</v>
      </c>
      <c r="I12" s="264"/>
      <c r="J12" s="426">
        <f>IF(Table!CG12&lt;&gt;"",Table!CG12,"")</f>
        <v>0</v>
      </c>
      <c r="K12" s="428">
        <f>IF(Table!CH12&lt;&gt;"",Table!CH12,"")</f>
        <v>0</v>
      </c>
      <c r="L12" s="318">
        <f>IF(Table!CI12&lt;&gt;"",Table!CI12,"")</f>
        <v>0</v>
      </c>
      <c r="M12" s="230">
        <f>IF(Table!CJ12&lt;&gt;"",Table!CJ12,"")</f>
        <v>0</v>
      </c>
      <c r="N12" s="318">
        <f>IF(Table!CK12&lt;&gt;"",Table!CK12,"")</f>
        <v>0</v>
      </c>
      <c r="O12" s="318">
        <f>IF(Table!CM12&lt;&gt;"",Table!CM12,"")</f>
        <v>0</v>
      </c>
      <c r="P12" s="319">
        <f>IF(Table!CO12&lt;&gt;"",Table!CO12,"")</f>
        <v>0</v>
      </c>
      <c r="Q12" s="319">
        <f>IF(Table!CP12&lt;&gt;"",Table!CP12,"")</f>
        <v>0</v>
      </c>
      <c r="R12" s="320"/>
    </row>
    <row r="13" spans="1:18" x14ac:dyDescent="0.2">
      <c r="A13" s="385" t="str">
        <f>IF(Table!A13&lt;&gt;"",Table!A13,"")</f>
        <v>יולי</v>
      </c>
      <c r="B13" s="92"/>
      <c r="C13" s="217">
        <f>IF(Table!CB13&lt;&gt;"",Table!CB13,"")</f>
        <v>1.65</v>
      </c>
      <c r="D13" s="218">
        <f>IF(Table!CC13&lt;&gt;"",Table!CC13,"")</f>
        <v>1.1950000000000001</v>
      </c>
      <c r="E13" s="419">
        <f t="shared" si="0"/>
        <v>0.72424242424242435</v>
      </c>
      <c r="F13" s="423">
        <f>IF(AND('יחידת טיפול '!O13&lt;&gt;"",E13&lt;&gt;""),('יחידת טיפול '!O13-E13)/('יחידת טיפול '!O13-'יחידת טיפול '!O13*E13),"")</f>
        <v>0.17526771044464559</v>
      </c>
      <c r="G13" s="423">
        <f>IF(AND('יחידת טיפול '!P13&lt;&gt;"",F13&lt;&gt;""),('יחידת טיפול '!P13-F13)/('יחידת טיפול '!P13-'יחידת טיפול '!P13*F13),"")</f>
        <v>-0.79344739853180002</v>
      </c>
      <c r="H13" s="423">
        <f>IF(AND('יחידת טיפול '!Q13&lt;&gt;"",G13&lt;&gt;""),('יחידת טיפול '!Q13-G13)/('יחידת טיפול '!Q13-'יחידת טיפול '!Q13*G13),"")</f>
        <v>0.80337126780242007</v>
      </c>
      <c r="I13" s="264">
        <f t="shared" si="1"/>
        <v>0.70430107526881713</v>
      </c>
      <c r="J13" s="426">
        <f>IF(Table!CG13&lt;&gt;"",Table!CG13,"")</f>
        <v>18.600000000000001</v>
      </c>
      <c r="K13" s="428">
        <f>IF(Table!CH13&lt;&gt;"",Table!CH13,"")</f>
        <v>13.1</v>
      </c>
      <c r="L13" s="318">
        <f>IF(Table!CI13&lt;&gt;"",Table!CI13,"")</f>
        <v>0</v>
      </c>
      <c r="M13" s="230">
        <f>IF(Table!CJ13&lt;&gt;"",Table!CJ13,"")</f>
        <v>21071</v>
      </c>
      <c r="N13" s="318">
        <f>IF(Table!CK13&lt;&gt;"",Table!CK13,"")</f>
        <v>2703</v>
      </c>
      <c r="O13" s="318">
        <f>IF(Table!CM13&lt;&gt;"",Table!CM13,"")</f>
        <v>12155</v>
      </c>
      <c r="P13" s="319">
        <f>IF(Table!CO13&lt;&gt;"",Table!CO13,"")</f>
        <v>18.96</v>
      </c>
      <c r="Q13" s="319">
        <f>IF(Table!CP13&lt;&gt;"",Table!CP13,"")</f>
        <v>0</v>
      </c>
      <c r="R13" s="320">
        <f>IF(Table!CQ13&lt;&gt;"",Table!CQ13,"")</f>
        <v>0</v>
      </c>
    </row>
    <row r="14" spans="1:18" x14ac:dyDescent="0.2">
      <c r="A14" s="385" t="str">
        <f>IF(Table!A14&lt;&gt;"",Table!A14,"")</f>
        <v>אוגוסט</v>
      </c>
      <c r="B14" s="92"/>
      <c r="C14" s="217">
        <f>IF(Table!CB14&lt;&gt;"",Table!CB14,"")</f>
        <v>1.1400000000000001</v>
      </c>
      <c r="D14" s="218">
        <f>IF(Table!CC14&lt;&gt;"",Table!CC14,"")</f>
        <v>0.81399999999999983</v>
      </c>
      <c r="E14" s="419">
        <f t="shared" si="0"/>
        <v>0.71403508771929802</v>
      </c>
      <c r="F14" s="423">
        <v>0.36</v>
      </c>
      <c r="G14" s="423">
        <f>IF(AND('יחידת טיפול '!P14&lt;&gt;"",F14&lt;&gt;""),('יחידת טיפול '!P14-F14)/('יחידת טיפול '!P14-'יחידת טיפול '!P14*F14),"")</f>
        <v>-2.3531269530940739</v>
      </c>
      <c r="H14" s="423">
        <f>IF(AND('יחידת טיפול '!Q14&lt;&gt;"",G14&lt;&gt;""),('יחידת טיפול '!Q14-G14)/('יחידת טיפול '!Q14-'יחידת טיפול '!Q14*G14),"")</f>
        <v>0.68810181779425095</v>
      </c>
      <c r="I14" s="264">
        <f t="shared" si="1"/>
        <v>3.3412935323383079</v>
      </c>
      <c r="J14" s="426">
        <f>IF(Table!CG14&lt;&gt;"",Table!CG14,"")</f>
        <v>20.100000000000001</v>
      </c>
      <c r="K14" s="428">
        <f>IF(Table!CH14&lt;&gt;"",Table!CH14,"")</f>
        <v>67.16</v>
      </c>
      <c r="L14" s="318">
        <f>IF(Table!CI14&lt;&gt;"",Table!CI14,"")</f>
        <v>0</v>
      </c>
      <c r="M14" s="230">
        <f>IF(Table!CJ14&lt;&gt;"",Table!CJ14,"")</f>
        <v>21515.5</v>
      </c>
      <c r="N14" s="318">
        <f>IF(Table!CK14&lt;&gt;"",Table!CK14,"")</f>
        <v>2934</v>
      </c>
      <c r="O14" s="318">
        <f>IF(Table!CM14&lt;&gt;"",Table!CM14,"")</f>
        <v>12952</v>
      </c>
      <c r="P14" s="319">
        <f>IF(Table!CO14&lt;&gt;"",Table!CO14,"")</f>
        <v>0</v>
      </c>
      <c r="Q14" s="319">
        <f>IF(Table!CP14&lt;&gt;"",Table!CP14,"")</f>
        <v>0</v>
      </c>
      <c r="R14" s="320">
        <f>IF(Table!CQ14&lt;&gt;"",Table!CQ14,"")</f>
        <v>2.04</v>
      </c>
    </row>
    <row r="15" spans="1:18" x14ac:dyDescent="0.2">
      <c r="A15" s="385" t="str">
        <f>IF(Table!A15&lt;&gt;"",Table!A15,"")</f>
        <v>ספטמבר</v>
      </c>
      <c r="B15" s="92"/>
      <c r="C15" s="217">
        <f>IF(Table!CB15&lt;&gt;"",Table!CB15,"")</f>
        <v>1.1379999999999999</v>
      </c>
      <c r="D15" s="218">
        <f>IF(Table!CC15&lt;&gt;"",Table!CC15,"")</f>
        <v>0.81199999999999994</v>
      </c>
      <c r="E15" s="419">
        <f t="shared" si="0"/>
        <v>0.71353251318101929</v>
      </c>
      <c r="F15" s="423">
        <f>IF(AND('יחידת טיפול '!O15&lt;&gt;"",E15&lt;&gt;""),('יחידת טיפול '!O15-E15)/('יחידת טיפול '!O15-'יחידת טיפול '!O15*E15),"")</f>
        <v>0.28053666806037619</v>
      </c>
      <c r="G15" s="423">
        <f>IF(AND('יחידת טיפול '!P15&lt;&gt;"",F15&lt;&gt;""),('יחידת טיפול '!P15-F15)/('יחידת טיפול '!P15-'יחידת טיפול '!P15*F15),"")</f>
        <v>-3.0822982275198387</v>
      </c>
      <c r="H15" s="423">
        <f>IF(AND('יחידת טיפול '!Q15&lt;&gt;"",G15&lt;&gt;""),('יחידת טיפול '!Q15-G15)/('יחידת טיפול '!Q15-'יחידת טיפול '!Q15*G15),"")</f>
        <v>0.66442669129187404</v>
      </c>
      <c r="I15" s="264"/>
      <c r="J15" s="426">
        <f>IF(Table!CG15&lt;&gt;"",Table!CG15,"")</f>
        <v>0</v>
      </c>
      <c r="K15" s="428">
        <f>IF(Table!CH15&lt;&gt;"",Table!CH15,"")</f>
        <v>0</v>
      </c>
      <c r="L15" s="318">
        <f>IF(Table!CI15&lt;&gt;"",Table!CI15,"")</f>
        <v>0</v>
      </c>
      <c r="M15" s="230">
        <f>IF(Table!CJ15&lt;&gt;"",Table!CJ15,"")</f>
        <v>0</v>
      </c>
      <c r="N15" s="318">
        <f>IF(Table!CK15&lt;&gt;"",Table!CK15,"")</f>
        <v>0</v>
      </c>
      <c r="O15" s="318">
        <f>IF(Table!CM15&lt;&gt;"",Table!CM15,"")</f>
        <v>0</v>
      </c>
      <c r="P15" s="319">
        <f>IF(Table!CO15&lt;&gt;"",Table!CO15,"")</f>
        <v>18</v>
      </c>
      <c r="Q15" s="319">
        <f>IF(Table!CP15&lt;&gt;"",Table!CP15,"")</f>
        <v>0</v>
      </c>
      <c r="R15" s="320">
        <f>IF(Table!CQ15&lt;&gt;"",Table!CQ15,"")</f>
        <v>3.02</v>
      </c>
    </row>
    <row r="16" spans="1:18" x14ac:dyDescent="0.2">
      <c r="A16" s="385" t="str">
        <f>IF(Table!A16&lt;&gt;"",Table!A16,"")</f>
        <v>אוקטובר</v>
      </c>
      <c r="B16" s="92"/>
      <c r="C16" s="217">
        <f>IF(Table!CB16&lt;&gt;"",Table!CB16,"")</f>
        <v>1.1225000000000001</v>
      </c>
      <c r="D16" s="218">
        <f>IF(Table!CC16&lt;&gt;"",Table!CC16,"")</f>
        <v>0.8175</v>
      </c>
      <c r="E16" s="419">
        <f t="shared" si="0"/>
        <v>0.72828507795100217</v>
      </c>
      <c r="F16" s="423">
        <f>IF(AND('יחידת טיפול '!O16&lt;&gt;"",E16&lt;&gt;""),('יחידת טיפול '!O16-E16)/('יחידת טיפול '!O16-'יחידת טיפול '!O16*E16),"")</f>
        <v>0.30852806207167266</v>
      </c>
      <c r="G16" s="423">
        <f>IF(AND('יחידת טיפול '!P16&lt;&gt;"",F16&lt;&gt;""),('יחידת טיפול '!P16-F16)/('יחידת טיפול '!P16-'יחידת טיפול '!P16*F16),"")</f>
        <v>-1.8231600682132745</v>
      </c>
      <c r="H16" s="423">
        <f>IF(AND('יחידת טיפול '!Q16&lt;&gt;"",G16&lt;&gt;""),('יחידת טיפול '!Q16-G16)/('יחידת טיפול '!Q16-'יחידת טיפול '!Q16*G16),"")</f>
        <v>0.71298355598973751</v>
      </c>
      <c r="I16" s="264">
        <f t="shared" si="1"/>
        <v>0.68137254901960786</v>
      </c>
      <c r="J16" s="426">
        <f>IF(Table!CG16&lt;&gt;"",Table!CG16,"")</f>
        <v>20.399999999999999</v>
      </c>
      <c r="K16" s="428">
        <f>IF(Table!CH16&lt;&gt;"",Table!CH16,"")</f>
        <v>13.9</v>
      </c>
      <c r="L16" s="318">
        <f>IF(Table!CI16&lt;&gt;"",Table!CI16,"")</f>
        <v>0</v>
      </c>
      <c r="M16" s="230">
        <f>IF(Table!CJ16&lt;&gt;"",Table!CJ16,"")</f>
        <v>17294</v>
      </c>
      <c r="N16" s="318">
        <f>IF(Table!CK16&lt;&gt;"",Table!CK16,"")</f>
        <v>2127</v>
      </c>
      <c r="O16" s="318">
        <f>IF(Table!CM16&lt;&gt;"",Table!CM16,"")</f>
        <v>12850</v>
      </c>
      <c r="P16" s="319">
        <f>IF(Table!CO16&lt;&gt;"",Table!CO16,"")</f>
        <v>55.099999999999994</v>
      </c>
      <c r="Q16" s="319">
        <f>IF(Table!CP16&lt;&gt;"",Table!CP16,"")</f>
        <v>0</v>
      </c>
      <c r="R16" s="320">
        <f>IF(Table!CQ16&lt;&gt;"",Table!CQ16,"")</f>
        <v>1.88</v>
      </c>
    </row>
    <row r="17" spans="1:18" x14ac:dyDescent="0.2">
      <c r="A17" s="385" t="str">
        <f>IF(Table!A17&lt;&gt;"",Table!A17,"")</f>
        <v>נובמבר</v>
      </c>
      <c r="B17" s="92"/>
      <c r="C17" s="217">
        <f>IF(Table!CB17&lt;&gt;"",Table!CB17,"")</f>
        <v>1.2833333333333334</v>
      </c>
      <c r="D17" s="218">
        <f>IF(Table!CC17&lt;&gt;"",Table!CC17,"")</f>
        <v>1.0733333333333335</v>
      </c>
      <c r="E17" s="419"/>
      <c r="F17" s="423" t="str">
        <f>IF(AND('יחידת טיפול '!O17&lt;&gt;"",E17&lt;&gt;""),('יחידת טיפול '!O17-E17)/('יחידת טיפול '!O17-'יחידת טיפול '!O17*E17),"")</f>
        <v/>
      </c>
      <c r="G17" s="423" t="str">
        <f>IF(AND('יחידת טיפול '!P17&lt;&gt;"",F17&lt;&gt;""),('יחידת טיפול '!P17-F17)/('יחידת טיפול '!P17-'יחידת טיפול '!P17*F17),"")</f>
        <v/>
      </c>
      <c r="H17" s="423" t="str">
        <f>IF(AND('יחידת טיפול '!Q17&lt;&gt;"",G17&lt;&gt;""),('יחידת טיפול '!Q17-G17)/('יחידת טיפול '!Q17-'יחידת טיפול '!Q17*G17),"")</f>
        <v/>
      </c>
      <c r="I17" s="264">
        <f t="shared" si="1"/>
        <v>0.7192982456140351</v>
      </c>
      <c r="J17" s="426">
        <f>IF(Table!CG17&lt;&gt;"",Table!CG17,"")</f>
        <v>17.100000000000001</v>
      </c>
      <c r="K17" s="428">
        <f>IF(Table!CH17&lt;&gt;"",Table!CH17,"")</f>
        <v>12.3</v>
      </c>
      <c r="L17" s="318">
        <f>IF(Table!CI17&lt;&gt;"",Table!CI17,"")</f>
        <v>0</v>
      </c>
      <c r="M17" s="230">
        <f>IF(Table!CJ17&lt;&gt;"",Table!CJ17,"")</f>
        <v>11874</v>
      </c>
      <c r="N17" s="318">
        <f>IF(Table!CK17&lt;&gt;"",Table!CK17,"")</f>
        <v>1555</v>
      </c>
      <c r="O17" s="318">
        <f>IF(Table!CM17&lt;&gt;"",Table!CM17,"")</f>
        <v>11183</v>
      </c>
      <c r="P17" s="319">
        <f>IF(Table!CO17&lt;&gt;"",Table!CO17,"")</f>
        <v>36.14</v>
      </c>
      <c r="Q17" s="319">
        <f>IF(Table!CP17&lt;&gt;"",Table!CP17,"")</f>
        <v>0</v>
      </c>
      <c r="R17" s="320" t="str">
        <f>IF(Table!CQ17&lt;&gt;"",Table!CQ17,"")</f>
        <v>2,8</v>
      </c>
    </row>
    <row r="18" spans="1:18" ht="13.5" thickBot="1" x14ac:dyDescent="0.25">
      <c r="A18" s="385" t="str">
        <f>IF(Table!A18&lt;&gt;"",Table!A18,"")</f>
        <v>דצמבר</v>
      </c>
      <c r="B18" s="92"/>
      <c r="C18" s="217">
        <f>IF(Table!CB18&lt;&gt;"",Table!CB18,"")</f>
        <v>1.6216666666666668</v>
      </c>
      <c r="D18" s="218">
        <f>IF(Table!CC18&lt;&gt;"",Table!CC18,"")</f>
        <v>1.1966666666666665</v>
      </c>
      <c r="E18" s="419"/>
      <c r="F18" s="423" t="str">
        <f>IF(AND('יחידת טיפול '!O18&lt;&gt;"",E18&lt;&gt;""),('יחידת טיפול '!O18-E18)/('יחידת טיפול '!O18-'יחידת טיפול '!O18*E18),"")</f>
        <v/>
      </c>
      <c r="G18" s="423" t="str">
        <f>IF(AND('יחידת טיפול '!P18&lt;&gt;"",F18&lt;&gt;""),('יחידת טיפול '!P18-F18)/('יחידת טיפול '!P18-'יחידת טיפול '!P18*F18),"")</f>
        <v/>
      </c>
      <c r="H18" s="423" t="str">
        <f>IF(AND('יחידת טיפול '!Q18&lt;&gt;"",G18&lt;&gt;""),('יחידת טיפול '!Q18-G18)/('יחידת טיפול '!Q18-'יחידת טיפול '!Q18*G18),"")</f>
        <v/>
      </c>
      <c r="I18" s="264"/>
      <c r="J18" s="426">
        <f>IF(Table!CG18&lt;&gt;"",Table!CG18,"")</f>
        <v>18.5</v>
      </c>
      <c r="K18" s="428">
        <f>IF(Table!CH18&lt;&gt;"",Table!CH18,"")</f>
        <v>12.5</v>
      </c>
      <c r="L18" s="318">
        <f>IF(Table!CI18&lt;&gt;"",Table!CI18,"")</f>
        <v>0</v>
      </c>
      <c r="M18" s="230">
        <f>IF(Table!CJ18&lt;&gt;"",Table!CJ18,"")</f>
        <v>9312</v>
      </c>
      <c r="N18" s="318">
        <f>IF(Table!CK18&lt;&gt;"",Table!CK18,"")</f>
        <v>1592</v>
      </c>
      <c r="O18" s="318">
        <f>IF(Table!CM18&lt;&gt;"",Table!CM18,"")</f>
        <v>12605</v>
      </c>
      <c r="P18" s="319">
        <f>IF(Table!CO18&lt;&gt;"",Table!CO18,"")</f>
        <v>57.14</v>
      </c>
      <c r="Q18" s="319">
        <f>IF(Table!CP18&lt;&gt;"",Table!CP18,"")</f>
        <v>0</v>
      </c>
      <c r="R18" s="320">
        <f>IF(Table!CQ18&lt;&gt;"",Table!CQ18,"")</f>
        <v>2.12</v>
      </c>
    </row>
    <row r="19" spans="1:18" s="224" customFormat="1" x14ac:dyDescent="0.2">
      <c r="A19" s="642" t="s">
        <v>203</v>
      </c>
      <c r="B19" s="643"/>
      <c r="C19" s="321"/>
      <c r="D19" s="415"/>
      <c r="E19" s="322"/>
      <c r="F19" s="322"/>
      <c r="G19" s="108"/>
      <c r="H19" s="232">
        <f>SUM(H7:H18)</f>
        <v>8.0848873221349216</v>
      </c>
      <c r="I19" s="235"/>
      <c r="J19" s="323"/>
      <c r="K19" s="324"/>
      <c r="L19" s="104"/>
      <c r="M19" s="104"/>
      <c r="N19" s="104"/>
      <c r="O19" s="104"/>
      <c r="P19" s="325">
        <f>SUM(P7:P18)</f>
        <v>240.59999999999997</v>
      </c>
      <c r="Q19" s="325">
        <f>SUM(Q7:Q18)</f>
        <v>0</v>
      </c>
      <c r="R19" s="325">
        <f>SUM(R7:R18)</f>
        <v>18.64</v>
      </c>
    </row>
    <row r="20" spans="1:18" s="224" customFormat="1" x14ac:dyDescent="0.2">
      <c r="A20" s="644" t="s">
        <v>3</v>
      </c>
      <c r="B20" s="645"/>
      <c r="C20" s="177">
        <f t="shared" ref="C20:G20" si="2">AVERAGE(C7:C18)</f>
        <v>1.9541194444444445</v>
      </c>
      <c r="D20" s="416">
        <f t="shared" si="2"/>
        <v>1.2545416666666667</v>
      </c>
      <c r="E20" s="439">
        <f t="shared" si="2"/>
        <v>0.72947767616606662</v>
      </c>
      <c r="F20" s="420">
        <f t="shared" si="2"/>
        <v>9.4848587241702684E-2</v>
      </c>
      <c r="G20" s="117">
        <f t="shared" si="2"/>
        <v>-0.25016620685908553</v>
      </c>
      <c r="H20" s="117">
        <f>AVERAGE(H7:H18)</f>
        <v>0.80848873221349216</v>
      </c>
      <c r="I20" s="437">
        <f t="shared" ref="I20" si="3">AVERAGE(I7:I18)</f>
        <v>4.0629489956115563</v>
      </c>
      <c r="J20" s="429">
        <f t="shared" ref="J20:O20" si="4">AVERAGE(J7:J18)</f>
        <v>10.268125</v>
      </c>
      <c r="K20" s="327">
        <f t="shared" si="4"/>
        <v>11.038310439560439</v>
      </c>
      <c r="L20" s="113">
        <f t="shared" si="4"/>
        <v>0</v>
      </c>
      <c r="M20" s="113">
        <f t="shared" si="4"/>
        <v>7641.125</v>
      </c>
      <c r="N20" s="113">
        <f t="shared" si="4"/>
        <v>979.25</v>
      </c>
      <c r="O20" s="113">
        <f t="shared" si="4"/>
        <v>5967.583333333333</v>
      </c>
      <c r="P20" s="328">
        <f>AVERAGE(P7:P18)</f>
        <v>20.049999999999997</v>
      </c>
      <c r="Q20" s="328">
        <f>AVERAGE(Q7:Q18)</f>
        <v>0</v>
      </c>
      <c r="R20" s="328">
        <f>AVERAGE(R7:R18)</f>
        <v>2.0711111111111111</v>
      </c>
    </row>
    <row r="21" spans="1:18" s="224" customFormat="1" x14ac:dyDescent="0.2">
      <c r="A21" s="644" t="s">
        <v>17</v>
      </c>
      <c r="B21" s="645"/>
      <c r="C21" s="177">
        <f t="shared" ref="C21:G21" si="5">MAX(C7:C18)</f>
        <v>5.9924999999999997</v>
      </c>
      <c r="D21" s="416">
        <f t="shared" si="5"/>
        <v>1.8975</v>
      </c>
      <c r="E21" s="439">
        <f t="shared" si="5"/>
        <v>0.78708133971291872</v>
      </c>
      <c r="F21" s="420">
        <f t="shared" si="5"/>
        <v>0.36</v>
      </c>
      <c r="G21" s="117">
        <f t="shared" si="5"/>
        <v>2.3532888670758321</v>
      </c>
      <c r="H21" s="117">
        <f>MAX(H7:H18)</f>
        <v>1.4960925848140638</v>
      </c>
      <c r="I21" s="437">
        <f t="shared" ref="I21" si="6">MAX(I7:I18)</f>
        <v>18.2</v>
      </c>
      <c r="J21" s="429">
        <f t="shared" ref="J21:O21" si="7">MAX(J7:J18)</f>
        <v>20.399999999999999</v>
      </c>
      <c r="K21" s="327">
        <f t="shared" si="7"/>
        <v>67.16</v>
      </c>
      <c r="L21" s="113">
        <f t="shared" si="7"/>
        <v>0</v>
      </c>
      <c r="M21" s="113">
        <f t="shared" si="7"/>
        <v>21515.5</v>
      </c>
      <c r="N21" s="113">
        <f t="shared" si="7"/>
        <v>2934</v>
      </c>
      <c r="O21" s="113">
        <f t="shared" si="7"/>
        <v>12952</v>
      </c>
      <c r="P21" s="435">
        <f>P19*J20/100</f>
        <v>24.705108749999994</v>
      </c>
      <c r="Q21" s="328">
        <f>MAX(Q7:Q18)</f>
        <v>0</v>
      </c>
      <c r="R21" s="328">
        <f>MAX(R7:R18)</f>
        <v>3.1</v>
      </c>
    </row>
    <row r="22" spans="1:18" s="224" customFormat="1" ht="13.5" thickBot="1" x14ac:dyDescent="0.25">
      <c r="A22" s="640" t="s">
        <v>18</v>
      </c>
      <c r="B22" s="641"/>
      <c r="C22" s="188">
        <f t="shared" ref="C22:G22" si="8">MIN(C7:C18)</f>
        <v>1.1194333333333333</v>
      </c>
      <c r="D22" s="417">
        <f t="shared" si="8"/>
        <v>0.81199999999999994</v>
      </c>
      <c r="E22" s="440">
        <f t="shared" si="8"/>
        <v>0.60183265721209178</v>
      </c>
      <c r="F22" s="421">
        <f t="shared" si="8"/>
        <v>-0.24699973426639851</v>
      </c>
      <c r="G22" s="126">
        <f t="shared" si="8"/>
        <v>-3.0822982275198387</v>
      </c>
      <c r="H22" s="126">
        <f>MIN(H7:H18)</f>
        <v>0.1289019450908489</v>
      </c>
      <c r="I22" s="438">
        <f t="shared" ref="I22" si="9">MIN(I7:I18)</f>
        <v>0.68137254901960786</v>
      </c>
      <c r="J22" s="430">
        <f t="shared" ref="J22:O22" si="10">MIN(J7:J18)</f>
        <v>0</v>
      </c>
      <c r="K22" s="431">
        <f t="shared" si="10"/>
        <v>0</v>
      </c>
      <c r="L22" s="122">
        <f t="shared" si="10"/>
        <v>0</v>
      </c>
      <c r="M22" s="122">
        <f t="shared" si="10"/>
        <v>0</v>
      </c>
      <c r="N22" s="122">
        <f t="shared" si="10"/>
        <v>0</v>
      </c>
      <c r="O22" s="122">
        <f t="shared" si="10"/>
        <v>0</v>
      </c>
      <c r="P22" s="436">
        <f>P19*K20/100</f>
        <v>26.558174917582409</v>
      </c>
      <c r="Q22" s="329">
        <f>MIN(Q7:Q18)</f>
        <v>0</v>
      </c>
      <c r="R22" s="329">
        <f>MIN(R7:R18)</f>
        <v>0</v>
      </c>
    </row>
  </sheetData>
  <sheetProtection formatCells="0" formatColumns="0" formatRows="0"/>
  <mergeCells count="20">
    <mergeCell ref="G2:R2"/>
    <mergeCell ref="A4:B4"/>
    <mergeCell ref="A5:A6"/>
    <mergeCell ref="B5:B6"/>
    <mergeCell ref="A2:D2"/>
    <mergeCell ref="Q4:Q5"/>
    <mergeCell ref="R4:R5"/>
    <mergeCell ref="A3:B3"/>
    <mergeCell ref="F4:F5"/>
    <mergeCell ref="I3:P3"/>
    <mergeCell ref="C3:H3"/>
    <mergeCell ref="A22:B22"/>
    <mergeCell ref="P4:P5"/>
    <mergeCell ref="A19:B19"/>
    <mergeCell ref="A20:B20"/>
    <mergeCell ref="A21:B21"/>
    <mergeCell ref="J4:O4"/>
    <mergeCell ref="M6:O6"/>
    <mergeCell ref="H4:H6"/>
    <mergeCell ref="C4:D4"/>
  </mergeCells>
  <phoneticPr fontId="6" type="noConversion"/>
  <printOptions horizontalCentered="1" verticalCentered="1"/>
  <pageMargins left="0.19685039370078741" right="0.19685039370078741" top="0.59055118110236227" bottom="0.27559055118110237" header="0.43307086614173229" footer="0.51181102362204722"/>
  <pageSetup paperSize="9" scale="85" orientation="landscape" horizontalDpi="300" verticalDpi="300" r:id="rId1"/>
  <headerFooter alignWithMargins="0">
    <oddHeader>&amp;C&amp;20&amp;Xא.ל.ד איכות הסביבה</oddHeader>
    <oddFooter>&amp;C&amp;16&amp;Yמכון טיהור שפכים להבים</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גיליון5"/>
  <dimension ref="A1:P41"/>
  <sheetViews>
    <sheetView showGridLines="0" showZeros="0" rightToLeft="1" workbookViewId="0">
      <pane xSplit="1" ySplit="6" topLeftCell="B7" activePane="bottomRight" state="frozen"/>
      <selection pane="topRight" activeCell="C1" sqref="C1"/>
      <selection pane="bottomLeft" activeCell="A7" sqref="A7"/>
      <selection pane="bottomRight" activeCell="M9" sqref="M9"/>
    </sheetView>
  </sheetViews>
  <sheetFormatPr defaultColWidth="9.140625" defaultRowHeight="12.75" x14ac:dyDescent="0.2"/>
  <cols>
    <col min="1" max="1" width="42.5703125" style="82" customWidth="1"/>
    <col min="2" max="2" width="10" style="82" customWidth="1"/>
    <col min="3" max="4" width="7.5703125" style="82" customWidth="1"/>
    <col min="5" max="5" width="8.28515625" style="82" customWidth="1"/>
    <col min="6" max="6" width="8.85546875" style="82" customWidth="1"/>
    <col min="7" max="7" width="6.7109375" style="82" customWidth="1"/>
    <col min="8" max="9" width="9.85546875" style="82" bestFit="1" customWidth="1"/>
    <col min="10" max="10" width="8.85546875" style="82" bestFit="1" customWidth="1"/>
    <col min="11" max="11" width="10.140625" style="82" customWidth="1"/>
    <col min="12" max="12" width="8.85546875" style="82" bestFit="1" customWidth="1"/>
    <col min="13" max="13" width="7.5703125" style="224" bestFit="1" customWidth="1"/>
    <col min="14" max="14" width="8.7109375" style="224" bestFit="1" customWidth="1"/>
    <col min="15" max="15" width="10.7109375" style="82" customWidth="1"/>
    <col min="16" max="16" width="10.42578125" style="298" customWidth="1"/>
    <col min="17" max="16384" width="9.140625" style="82"/>
  </cols>
  <sheetData>
    <row r="1" spans="1:16" ht="13.5" thickBot="1" x14ac:dyDescent="0.25">
      <c r="P1" s="82"/>
    </row>
    <row r="2" spans="1:16" ht="13.5" thickBot="1" x14ac:dyDescent="0.25">
      <c r="A2" s="621"/>
      <c r="B2" s="622"/>
      <c r="C2" s="623"/>
      <c r="D2" s="624" t="s">
        <v>165</v>
      </c>
      <c r="E2" s="625"/>
      <c r="F2" s="625"/>
      <c r="G2" s="625"/>
      <c r="H2" s="625"/>
      <c r="I2" s="625"/>
      <c r="J2" s="625"/>
      <c r="K2" s="625"/>
      <c r="L2" s="625"/>
      <c r="M2" s="625"/>
      <c r="N2" s="625"/>
      <c r="O2" s="625"/>
      <c r="P2" s="626"/>
    </row>
    <row r="3" spans="1:16" ht="13.5" customHeight="1" thickBot="1" x14ac:dyDescent="0.25">
      <c r="A3" s="397"/>
      <c r="B3" s="273" t="s">
        <v>25</v>
      </c>
      <c r="C3" s="633" t="s">
        <v>44</v>
      </c>
      <c r="D3" s="627"/>
      <c r="E3" s="627"/>
      <c r="F3" s="627"/>
      <c r="G3" s="639"/>
      <c r="H3" s="633" t="s">
        <v>43</v>
      </c>
      <c r="I3" s="627"/>
      <c r="J3" s="627"/>
      <c r="K3" s="627"/>
      <c r="L3" s="627"/>
      <c r="M3" s="633" t="s">
        <v>11</v>
      </c>
      <c r="N3" s="627"/>
      <c r="O3" s="627"/>
      <c r="P3" s="639"/>
    </row>
    <row r="4" spans="1:16" s="274" customFormat="1" ht="15" customHeight="1" thickBot="1" x14ac:dyDescent="0.25">
      <c r="A4" s="657" t="s">
        <v>193</v>
      </c>
      <c r="B4" s="630" t="s">
        <v>205</v>
      </c>
      <c r="C4" s="690" t="s">
        <v>5</v>
      </c>
      <c r="D4" s="694" t="s">
        <v>4</v>
      </c>
      <c r="E4" s="694" t="s">
        <v>122</v>
      </c>
      <c r="F4" s="694" t="s">
        <v>126</v>
      </c>
      <c r="G4" s="696" t="s">
        <v>128</v>
      </c>
      <c r="H4" s="690" t="s">
        <v>38</v>
      </c>
      <c r="I4" s="692" t="s">
        <v>50</v>
      </c>
      <c r="J4" s="694" t="s">
        <v>142</v>
      </c>
      <c r="K4" s="694" t="s">
        <v>143</v>
      </c>
      <c r="L4" s="701" t="s">
        <v>144</v>
      </c>
      <c r="M4" s="672"/>
      <c r="N4" s="676"/>
      <c r="O4" s="630" t="s">
        <v>206</v>
      </c>
      <c r="P4" s="699" t="s">
        <v>45</v>
      </c>
    </row>
    <row r="5" spans="1:16" ht="26.25" customHeight="1" thickBot="1" x14ac:dyDescent="0.25">
      <c r="A5" s="698"/>
      <c r="B5" s="631"/>
      <c r="C5" s="691"/>
      <c r="D5" s="695"/>
      <c r="E5" s="695"/>
      <c r="F5" s="695"/>
      <c r="G5" s="697"/>
      <c r="H5" s="691"/>
      <c r="I5" s="693"/>
      <c r="J5" s="695"/>
      <c r="K5" s="695"/>
      <c r="L5" s="702"/>
      <c r="M5" s="674"/>
      <c r="N5" s="675"/>
      <c r="O5" s="681"/>
      <c r="P5" s="700"/>
    </row>
    <row r="6" spans="1:16" ht="29.25" customHeight="1" thickBot="1" x14ac:dyDescent="0.25">
      <c r="A6" s="658"/>
      <c r="B6" s="220" t="s">
        <v>188</v>
      </c>
      <c r="C6" s="87" t="s">
        <v>204</v>
      </c>
      <c r="D6" s="87" t="s">
        <v>204</v>
      </c>
      <c r="E6" s="87" t="s">
        <v>204</v>
      </c>
      <c r="F6" s="87" t="s">
        <v>204</v>
      </c>
      <c r="G6" s="87" t="s">
        <v>204</v>
      </c>
      <c r="H6" s="87" t="s">
        <v>10</v>
      </c>
      <c r="I6" s="88" t="s">
        <v>10</v>
      </c>
      <c r="J6" s="88" t="s">
        <v>10</v>
      </c>
      <c r="K6" s="88" t="s">
        <v>10</v>
      </c>
      <c r="L6" s="84" t="s">
        <v>10</v>
      </c>
      <c r="M6" s="132" t="s">
        <v>186</v>
      </c>
      <c r="N6" s="414" t="s">
        <v>215</v>
      </c>
      <c r="O6" s="631"/>
      <c r="P6" s="275" t="s">
        <v>46</v>
      </c>
    </row>
    <row r="7" spans="1:16" x14ac:dyDescent="0.2">
      <c r="A7" s="385" t="str">
        <f>IF(Table!A7&lt;&gt;"",Table!A7,"")</f>
        <v>ינואר</v>
      </c>
      <c r="B7" s="228">
        <v>1212.9032258064517</v>
      </c>
      <c r="C7" s="162">
        <v>410.68180000000001</v>
      </c>
      <c r="D7" s="164">
        <v>1017.4401999999998</v>
      </c>
      <c r="E7" s="163">
        <v>444.68739999999997</v>
      </c>
      <c r="F7" s="163">
        <v>46.669799999999995</v>
      </c>
      <c r="G7" s="163">
        <v>5.7924199999999999</v>
      </c>
      <c r="H7" s="276">
        <v>0.97804064417177916</v>
      </c>
      <c r="I7" s="277">
        <v>0.97618219658845951</v>
      </c>
      <c r="J7" s="278">
        <v>0.96521544965649198</v>
      </c>
      <c r="K7" s="278">
        <v>0.62870956187377414</v>
      </c>
      <c r="L7" s="279">
        <v>0.32431457431457428</v>
      </c>
      <c r="M7" s="227">
        <v>39768</v>
      </c>
      <c r="N7" s="227">
        <v>1282.8387096774193</v>
      </c>
      <c r="O7" s="156">
        <v>1.0633145575271497</v>
      </c>
      <c r="P7" s="398">
        <v>7.8056832975377421</v>
      </c>
    </row>
    <row r="8" spans="1:16" x14ac:dyDescent="0.2">
      <c r="A8" s="385" t="str">
        <f>IF(Table!A8&lt;&gt;"",Table!A8,"")</f>
        <v>פברואר</v>
      </c>
      <c r="B8" s="228">
        <f>ספיקות!B7</f>
        <v>37980</v>
      </c>
      <c r="C8" s="162">
        <f>IF(AND(B8&lt;&gt;"",'איכות שפכים'!C7&lt;&gt;""),B8*'איכות שפכים'!C7/1000, "")</f>
        <v>12115.62</v>
      </c>
      <c r="D8" s="164">
        <f>IF(AND(B8&lt;&gt;"",'איכות שפכים'!D7&lt;&gt;""),B8*'איכות שפכים'!D7/1000, "")</f>
        <v>32472.9</v>
      </c>
      <c r="E8" s="163">
        <f>IF(AND(B8&lt;&gt;"",'איכות שפכים'!E7&lt;&gt;""),B8*'איכות שפכים'!E7/1000, "")</f>
        <v>12001.68</v>
      </c>
      <c r="F8" s="163">
        <f>IF(AND(B8&lt;&gt;"",'איכות שפכים'!F7&lt;&gt;""),B8*'איכות שפכים'!F7/1000, "")</f>
        <v>1826.838</v>
      </c>
      <c r="G8" s="280">
        <f>IF(AND(B8&lt;&gt;"",'איכות שפכים'!I7&lt;&gt;""),B8*'איכות שפכים'!I7/1000, "")</f>
        <v>189.9</v>
      </c>
      <c r="H8" s="281">
        <f>IF(AND('קולחין שניוני'!C7&lt;&gt;"",'איכות שפכים'!C7&lt;&gt;""),100%-('קולחין שניוני'!C7/'איכות שפכים'!C7), "")</f>
        <v>0.98589341692789967</v>
      </c>
      <c r="I8" s="279">
        <f>IF(AND('קולחין שניוני'!D7&lt;&gt;"",'איכות שפכים'!D7&lt;&gt;""),100%-('קולחין שניוני'!D7/'איכות שפכים'!D7), "")</f>
        <v>0.97368421052631582</v>
      </c>
      <c r="J8" s="278">
        <f>IF(AND('קולחין שניוני'!E7&lt;&gt;"",'איכות שפכים'!E7&lt;&gt;""),100%-('קולחין שניוני'!E7/'איכות שפכים'!E7), "")</f>
        <v>0.94198312236286919</v>
      </c>
      <c r="K8" s="278">
        <f>IF(AND('קולחין שניוני'!F7&lt;&gt;"",'איכות שפכים'!F7&lt;&gt;""),100%-('קולחין שניוני'!F7/'איכות שפכים'!F7), "")</f>
        <v>0.63513513513513509</v>
      </c>
      <c r="L8" s="279">
        <f>IF(AND('קולחין שניוני'!H7&lt;&gt;"",'איכות שפכים'!I7&lt;&gt;""),100%-('קולחין שניוני'!H7/'איכות שפכים'!I7), "")</f>
        <v>0.74</v>
      </c>
      <c r="M8" s="227">
        <f>IF(Table!CR8&lt;&gt;"",Table!CR8,"")</f>
        <v>27594</v>
      </c>
      <c r="N8" s="227">
        <f>M8/28</f>
        <v>985.5</v>
      </c>
      <c r="O8" s="156">
        <f t="shared" ref="O8:O18" si="0">IF(AND(M8&lt;&gt;"",B8&lt;&gt;""),M8/B8, "")</f>
        <v>0.72654028436018958</v>
      </c>
      <c r="P8" s="158">
        <f t="shared" ref="P8:P18" si="1">IF(AND(M8&lt;&gt;"",C8&lt;&gt;""),M8/C8, "")</f>
        <v>2.2775557503454218</v>
      </c>
    </row>
    <row r="9" spans="1:16" x14ac:dyDescent="0.2">
      <c r="A9" s="385" t="str">
        <f>IF(Table!A9&lt;&gt;"",Table!A9,"")</f>
        <v>מרץ</v>
      </c>
      <c r="B9" s="228">
        <f>ספיקות!B8</f>
        <v>41914</v>
      </c>
      <c r="C9" s="162">
        <f>IF(AND(B9&lt;&gt;"",'איכות שפכים'!C8&lt;&gt;""),B9*'איכות שפכים'!C8/1000, "")</f>
        <v>9835.8186666666661</v>
      </c>
      <c r="D9" s="164">
        <f>IF(AND(B9&lt;&gt;"",'איכות שפכים'!D8&lt;&gt;""),B9*'איכות שפכים'!D8/1000, "")</f>
        <v>26824.959999999999</v>
      </c>
      <c r="E9" s="163">
        <f>IF(AND(B9&lt;&gt;"",'איכות שפכים'!E8&lt;&gt;""),B9*'איכות שפכים'!E8/1000, "")</f>
        <v>10185.102000000001</v>
      </c>
      <c r="F9" s="163">
        <f>IF(AND(B9&lt;&gt;"",'איכות שפכים'!F8&lt;&gt;""),B9*'איכות שפכים'!F8/1000, "")</f>
        <v>1738.0338666666667</v>
      </c>
      <c r="G9" s="280">
        <f>IF(AND(B9&lt;&gt;"",'איכות שפכים'!I8&lt;&gt;""),B9*'איכות שפכים'!I8/1000, "")</f>
        <v>322.73779999999999</v>
      </c>
      <c r="H9" s="281">
        <f>IF(AND('קולחין שניוני'!C8&lt;&gt;"",'איכות שפכים'!C8&lt;&gt;""),100%-('קולחין שניוני'!C8/'איכות שפכים'!C8), "")</f>
        <v>0.96803977272727271</v>
      </c>
      <c r="I9" s="279">
        <f>IF(AND('קולחין שניוני'!D8&lt;&gt;"",'איכות שפכים'!D8&lt;&gt;""),100%-('קולחין שניוני'!D8/'איכות שפכים'!D8), "")</f>
        <v>0.94570312499999998</v>
      </c>
      <c r="J9" s="278">
        <f>IF(AND('קולחין שניוני'!E8&lt;&gt;"",'איכות שפכים'!E8&lt;&gt;""),100%-('קולחין שניוני'!E8/'איכות שפכים'!E8), "")</f>
        <v>0.94753086419753085</v>
      </c>
      <c r="K9" s="278">
        <f>IF(AND('קולחין שניוני'!F8&lt;&gt;"",'איכות שפכים'!F8&lt;&gt;""),100%-('קולחין שניוני'!F8/'איכות שפכים'!F8), "")</f>
        <v>0.46764469453376212</v>
      </c>
      <c r="L9" s="279">
        <f>IF(AND('קולחין שניוני'!H8&lt;&gt;"",'איכות שפכים'!I8&lt;&gt;""),100%-('קולחין שניוני'!H8/'איכות שפכים'!I8), "")</f>
        <v>0.47077922077922074</v>
      </c>
      <c r="M9" s="227">
        <f>IF(Table!CR9&lt;&gt;"",Table!CR9,"")</f>
        <v>34920</v>
      </c>
      <c r="N9" s="227">
        <f>M9/31</f>
        <v>1126.4516129032259</v>
      </c>
      <c r="O9" s="156">
        <f t="shared" si="0"/>
        <v>0.83313451352769963</v>
      </c>
      <c r="P9" s="158">
        <f t="shared" si="1"/>
        <v>3.5502891201464473</v>
      </c>
    </row>
    <row r="10" spans="1:16" x14ac:dyDescent="0.2">
      <c r="A10" s="385" t="str">
        <f>IF(Table!A10&lt;&gt;"",Table!A10,"")</f>
        <v>אפריל</v>
      </c>
      <c r="B10" s="228">
        <f>ספיקות!B9</f>
        <v>40001</v>
      </c>
      <c r="C10" s="162">
        <f>IF(AND(B10&lt;&gt;"",'איכות שפכים'!C9&lt;&gt;""),B10*'איכות שפכים'!C9/1000, "")</f>
        <v>14630.365750000001</v>
      </c>
      <c r="D10" s="164">
        <f>IF(AND(B10&lt;&gt;"",'איכות שפכים'!D9&lt;&gt;""),B10*'איכות שפכים'!D9/1000, "")</f>
        <v>31200.78</v>
      </c>
      <c r="E10" s="163">
        <f>IF(AND(B10&lt;&gt;"",'איכות שפכים'!E9&lt;&gt;""),B10*'איכות שפכים'!E9/1000, "")</f>
        <v>13970.349249999999</v>
      </c>
      <c r="F10" s="163">
        <f>IF(AND(B10&lt;&gt;"",'איכות שפכים'!F9&lt;&gt;""),B10*'איכות שפכים'!F9/1000, "")</f>
        <v>1469.0367249999999</v>
      </c>
      <c r="G10" s="280">
        <f>IF(AND(B10&lt;&gt;"",'איכות שפכים'!I9&lt;&gt;""),B10*'איכות שפכים'!I9/1000, "")</f>
        <v>266.40666000000004</v>
      </c>
      <c r="H10" s="281">
        <f>IF(AND('קולחין שניוני'!C9&lt;&gt;"",'איכות שפכים'!C9&lt;&gt;""),100%-('קולחין שניוני'!C9/'איכות שפכים'!C9), "")</f>
        <v>0.98250170881749832</v>
      </c>
      <c r="I10" s="279">
        <f>IF(AND('קולחין שניוני'!D9&lt;&gt;"",'איכות שפכים'!D9&lt;&gt;""),100%-('קולחין שניוני'!D9/'איכות שפכים'!D9), "")</f>
        <v>0.95923076923076922</v>
      </c>
      <c r="J10" s="278">
        <f>IF(AND('קולחין שניוני'!E9&lt;&gt;"",'איכות שפכים'!E9&lt;&gt;""),100%-('קולחין שניוני'!E9/'איכות שפכים'!E9), "")</f>
        <v>0.95132426628489619</v>
      </c>
      <c r="K10" s="278">
        <f>IF(AND('קולחין שניוני'!F9&lt;&gt;"",'איכות שפכים'!F9&lt;&gt;""),100%-('קולחין שניוני'!F9/'איכות שפכים'!F9), "")</f>
        <v>0.48155207624234164</v>
      </c>
      <c r="L10" s="279">
        <f>IF(AND('קולחין שניוני'!H9&lt;&gt;"",'איכות שפכים'!I9&lt;&gt;""),100%-('קולחין שניוני'!H9/'איכות שפכים'!I9), "")</f>
        <v>0.70570570570570568</v>
      </c>
      <c r="M10" s="227">
        <f>IF(Table!CR10&lt;&gt;"",Table!CR10,"")</f>
        <v>51588</v>
      </c>
      <c r="N10" s="227">
        <f>M10/30</f>
        <v>1719.6</v>
      </c>
      <c r="O10" s="156">
        <f t="shared" si="0"/>
        <v>1.2896677583060423</v>
      </c>
      <c r="P10" s="158">
        <f t="shared" si="1"/>
        <v>3.5260909318005256</v>
      </c>
    </row>
    <row r="11" spans="1:16" x14ac:dyDescent="0.2">
      <c r="A11" s="385" t="str">
        <f>IF(Table!A11&lt;&gt;"",Table!A11,"")</f>
        <v>מאי</v>
      </c>
      <c r="B11" s="228">
        <f>ספיקות!B10</f>
        <v>40685</v>
      </c>
      <c r="C11" s="162">
        <f>IF(AND(B11&lt;&gt;"",'איכות שפכים'!C10&lt;&gt;""),B11*'איכות שפכים'!C10/1000, "")</f>
        <v>14788.997499999999</v>
      </c>
      <c r="D11" s="164">
        <f>IF(AND(B11&lt;&gt;"",'איכות שפכים'!D10&lt;&gt;""),B11*'איכות שפכים'!D10/1000, "")</f>
        <v>35524.785833333328</v>
      </c>
      <c r="E11" s="163">
        <f>IF(AND(B11&lt;&gt;"",'איכות שפכים'!E10&lt;&gt;""),B11*'איכות שפכים'!E10/1000, "")</f>
        <v>14809.34</v>
      </c>
      <c r="F11" s="163">
        <f>IF(AND(B11&lt;&gt;"",'איכות שפכים'!F10&lt;&gt;""),B11*'איכות שפכים'!F10/1000, "")</f>
        <v>1682.32475</v>
      </c>
      <c r="G11" s="280">
        <f>IF(AND(B11&lt;&gt;"",'איכות שפכים'!I10&lt;&gt;""),B11*'איכות שפכים'!I10/1000, "")</f>
        <v>249.80590000000004</v>
      </c>
      <c r="H11" s="281">
        <f>IF(AND('קולחין שניוני'!C10&lt;&gt;"",'איכות שפכים'!C10&lt;&gt;""),100%-('קולחין שניוני'!C10/'איכות שפכים'!C10), "")</f>
        <v>0.98693259972489689</v>
      </c>
      <c r="I11" s="279">
        <f>IF(AND('קולחין שניוני'!D10&lt;&gt;"",'איכות שפכים'!D10&lt;&gt;""),100%-('קולחין שניוני'!D10/'איכות שפכים'!D10), "")</f>
        <v>0.96793281160526823</v>
      </c>
      <c r="J11" s="278">
        <f>IF(AND('קולחין שניוני'!E10&lt;&gt;"",'איכות שפכים'!E10&lt;&gt;""),100%-('קולחין שניוני'!E10/'איכות שפכים'!E10), "")</f>
        <v>0.95494505494505499</v>
      </c>
      <c r="K11" s="278">
        <f>IF(AND('קולחין שניוני'!F10&lt;&gt;"",'איכות שפכים'!F10&lt;&gt;""),100%-('קולחין שניוני'!F10/'איכות שפכים'!F10), "")</f>
        <v>0.60608625554212003</v>
      </c>
      <c r="L11" s="279">
        <f>IF(AND('קולחין שניוני'!H10&lt;&gt;"",'איכות שפכים'!I10&lt;&gt;""),100%-('קולחין שניוני'!H10/'איכות שפכים'!I10), "")</f>
        <v>0.58306188925081437</v>
      </c>
      <c r="M11" s="227">
        <f>IF(Table!CR11&lt;&gt;"",Table!CR11,"")</f>
        <v>55038</v>
      </c>
      <c r="N11" s="227">
        <f>M11/31</f>
        <v>1775.4193548387098</v>
      </c>
      <c r="O11" s="156">
        <f t="shared" si="0"/>
        <v>1.3527835811724223</v>
      </c>
      <c r="P11" s="158">
        <f t="shared" si="1"/>
        <v>3.7215504296352746</v>
      </c>
    </row>
    <row r="12" spans="1:16" x14ac:dyDescent="0.2">
      <c r="A12" s="385" t="str">
        <f>IF(Table!A12&lt;&gt;"",Table!A12,"")</f>
        <v>יוני</v>
      </c>
      <c r="B12" s="228">
        <f>ספיקות!B11</f>
        <v>40883</v>
      </c>
      <c r="C12" s="162">
        <f>IF(AND(B12&lt;&gt;"",'איכות שפכים'!C11&lt;&gt;""),B12*'איכות שפכים'!C11/1000, "")</f>
        <v>15103.348285714286</v>
      </c>
      <c r="D12" s="164">
        <f>IF(AND(B12&lt;&gt;"",'איכות שפכים'!D11&lt;&gt;""),B12*'איכות שפכים'!D11/1000, "")</f>
        <v>42518.32</v>
      </c>
      <c r="E12" s="163">
        <f>IF(AND(B12&lt;&gt;"",'איכות שפכים'!E11&lt;&gt;""),B12*'איכות שפכים'!E11/1000, "")</f>
        <v>18514.888625</v>
      </c>
      <c r="F12" s="163">
        <f>IF(AND(B12&lt;&gt;"",'איכות שפכים'!F11&lt;&gt;""),B12*'איכות שפכים'!F11/1000, "")</f>
        <v>1836.6687749999999</v>
      </c>
      <c r="G12" s="280">
        <f>IF(AND(B12&lt;&gt;"",'איכות שפכים'!I11&lt;&gt;""),B12*'איכות שפכים'!I11/1000, "")</f>
        <v>298.44589999999994</v>
      </c>
      <c r="H12" s="281">
        <f>IF(AND('קולחין שניוני'!C11&lt;&gt;"",'איכות שפכים'!C11&lt;&gt;""),100%-('קולחין שניוני'!C11/'איכות שפכים'!C11), "")</f>
        <v>0.97834493426140756</v>
      </c>
      <c r="I12" s="279">
        <f>IF(AND('קולחין שניוני'!D11&lt;&gt;"",'איכות שפכים'!D11&lt;&gt;""),100%-('קולחין שניוני'!D11/'איכות שפכים'!D11), "")</f>
        <v>0.97067307692307692</v>
      </c>
      <c r="J12" s="278">
        <f>IF(AND('קולחין שניוני'!E11&lt;&gt;"",'איכות שפכים'!E11&lt;&gt;""),100%-('קולחין שניוני'!E11/'איכות שפכים'!E11), "")</f>
        <v>0.96283006716349251</v>
      </c>
      <c r="K12" s="278">
        <f>IF(AND('קולחין שניוני'!F11&lt;&gt;"",'איכות שפכים'!F11&lt;&gt;""),100%-('קולחין שניוני'!F11/'איכות שפכים'!F11), "")</f>
        <v>0.63743275830087176</v>
      </c>
      <c r="L12" s="279">
        <f>IF(AND('קולחין שניוני'!H11&lt;&gt;"",'איכות שפכים'!I11&lt;&gt;""),100%-('קולחין שניוני'!H11/'איכות שפכים'!I11), "")</f>
        <v>-0.13470319634703198</v>
      </c>
      <c r="M12" s="227">
        <f>IF(Table!CR12&lt;&gt;"",Table!CR12,"")</f>
        <v>52926</v>
      </c>
      <c r="N12" s="227">
        <f>M12/30</f>
        <v>1764.2</v>
      </c>
      <c r="O12" s="156">
        <f t="shared" si="0"/>
        <v>1.2945723161216154</v>
      </c>
      <c r="P12" s="158">
        <f t="shared" si="1"/>
        <v>3.5042560761219286</v>
      </c>
    </row>
    <row r="13" spans="1:16" x14ac:dyDescent="0.2">
      <c r="A13" s="385" t="str">
        <f>IF(Table!A13&lt;&gt;"",Table!A13,"")</f>
        <v>יולי</v>
      </c>
      <c r="B13" s="228">
        <f>ספיקות!B12</f>
        <v>40342</v>
      </c>
      <c r="C13" s="162">
        <f>IF(AND(B13&lt;&gt;"",'איכות שפכים'!C12&lt;&gt;""),B13*'איכות שפכים'!C12/1000, "")</f>
        <v>14065.910666666668</v>
      </c>
      <c r="D13" s="164">
        <f>IF(AND(B13&lt;&gt;"",'איכות שפכים'!D12&lt;&gt;""),B13*'איכות שפכים'!D12/1000, "")</f>
        <v>33699.017333333337</v>
      </c>
      <c r="E13" s="163">
        <f>IF(AND(B13&lt;&gt;"",'איכות שפכים'!E12&lt;&gt;""),B13*'איכות שפכים'!E12/1000, "")</f>
        <v>14328.133666666668</v>
      </c>
      <c r="F13" s="163">
        <f>IF(AND(B13&lt;&gt;"",'איכות שפכים'!F12&lt;&gt;""),B13*'איכות שפכים'!F12/1000, "")</f>
        <v>1551.1498999999999</v>
      </c>
      <c r="G13" s="280">
        <f>IF(AND(B13&lt;&gt;"",'איכות שפכים'!I12&lt;&gt;""),B13*'איכות שפכים'!I12/1000, "")</f>
        <v>218.00816799999996</v>
      </c>
      <c r="H13" s="281">
        <f>IF(AND('קולחין שניוני'!C12&lt;&gt;"",'איכות שפכים'!C12&lt;&gt;""),100%-('קולחין שניוני'!C12/'איכות שפכים'!C12), "")</f>
        <v>0.982791586998088</v>
      </c>
      <c r="I13" s="279">
        <f>IF(AND('קולחין שניוני'!D12&lt;&gt;"",'איכות שפכים'!D12&lt;&gt;""),100%-('קולחין שניוני'!D12/'איכות שפכים'!D12), "")</f>
        <v>0.97102952913008778</v>
      </c>
      <c r="J13" s="278">
        <f>IF(AND('קולחין שניוני'!E12&lt;&gt;"",'איכות שפכים'!E12&lt;&gt;""),100%-('קולחין שניוני'!E12/'איכות שפכים'!E12), "")</f>
        <v>0.95607695917409663</v>
      </c>
      <c r="K13" s="278">
        <f>IF(AND('קולחין שניוני'!F12&lt;&gt;"",'איכות שפכים'!F12&lt;&gt;""),100%-('קולחין שניוני'!F12/'איכות שפכים'!F12), "")</f>
        <v>0.41014304291287385</v>
      </c>
      <c r="L13" s="279">
        <f>IF(AND('קולחין שניוני'!H12&lt;&gt;"",'איכות שפכים'!I12&lt;&gt;""),100%-('קולחין שניוני'!H12/'איכות שפכים'!I12), "")</f>
        <v>0.27091043671354542</v>
      </c>
      <c r="M13" s="227">
        <f>IF(Table!CR13&lt;&gt;"",Table!CR13,"")</f>
        <v>62232</v>
      </c>
      <c r="N13" s="227">
        <f>M13/31</f>
        <v>2007.483870967742</v>
      </c>
      <c r="O13" s="156">
        <f t="shared" si="0"/>
        <v>1.5426106786971394</v>
      </c>
      <c r="P13" s="158">
        <f t="shared" si="1"/>
        <v>4.424313610030036</v>
      </c>
    </row>
    <row r="14" spans="1:16" x14ac:dyDescent="0.2">
      <c r="A14" s="385" t="str">
        <f>IF(Table!A14&lt;&gt;"",Table!A14,"")</f>
        <v>אוגוסט</v>
      </c>
      <c r="B14" s="228">
        <f>ספיקות!B13</f>
        <v>37058</v>
      </c>
      <c r="C14" s="162">
        <f>IF(AND(B14&lt;&gt;"",'איכות שפכים'!C13&lt;&gt;""),B14*'איכות שפכים'!C13/1000, "")</f>
        <v>15663.181333333334</v>
      </c>
      <c r="D14" s="164">
        <f>IF(AND(B14&lt;&gt;"",'איכות שפכים'!D13&lt;&gt;""),B14*'איכות שפכים'!D13/1000, "")</f>
        <v>32320.752333333334</v>
      </c>
      <c r="E14" s="163">
        <f>IF(AND(B14&lt;&gt;"",'איכות שפכים'!E13&lt;&gt;""),B14*'איכות שפכים'!E13/1000, "")</f>
        <v>13668.225666666665</v>
      </c>
      <c r="F14" s="163">
        <f>IF(AND(B14&lt;&gt;"",'איכות שפכים'!F13&lt;&gt;""),B14*'איכות שפכים'!F13/1000, "")</f>
        <v>1448.3501666666668</v>
      </c>
      <c r="G14" s="280">
        <f>IF(AND(B14&lt;&gt;"",'איכות שפכים'!I13&lt;&gt;""),B14*'איכות שפכים'!I13/1000, "")</f>
        <v>251.25323999999998</v>
      </c>
      <c r="H14" s="281">
        <f>IF(AND('קולחין שניוני'!C13&lt;&gt;"",'איכות שפכים'!C13&lt;&gt;""),100%-('קולחין שניוני'!C13/'איכות שפכים'!C13), "")</f>
        <v>0.98211356466876976</v>
      </c>
      <c r="I14" s="279">
        <f>IF(AND('קולחין שניוני'!D13&lt;&gt;"",'איכות שפכים'!D13&lt;&gt;""),100%-('קולחין שניוני'!D13/'איכות שפכים'!D13), "")</f>
        <v>0.97615134721956809</v>
      </c>
      <c r="J14" s="278">
        <f>IF(AND('קולחין שניוני'!E13&lt;&gt;"",'איכות שפכים'!E13&lt;&gt;""),100%-('קולחין שניוני'!E13/'איכות שפכים'!E13), "")</f>
        <v>0.95607772254857659</v>
      </c>
      <c r="K14" s="278">
        <f>IF(AND('קולחין שניוני'!F13&lt;&gt;"",'איכות שפכים'!F13&lt;&gt;""),100%-('קולחין שניוני'!F13/'איכות שפכים'!F13), "")</f>
        <v>0.76701066098081028</v>
      </c>
      <c r="L14" s="279">
        <f>IF(AND('קולחין שניוני'!H13&lt;&gt;"",'איכות שפכים'!I13&lt;&gt;""),100%-('קולחין שניוני'!H13/'איכות שפכים'!I13), "")</f>
        <v>0.51032448377581119</v>
      </c>
      <c r="M14" s="227">
        <f>IF(Table!CR14&lt;&gt;"",Table!CR14,"")</f>
        <v>74034</v>
      </c>
      <c r="N14" s="227">
        <f>M14/31</f>
        <v>2388.1935483870966</v>
      </c>
      <c r="O14" s="156">
        <f t="shared" si="0"/>
        <v>1.997787252415133</v>
      </c>
      <c r="P14" s="158">
        <f t="shared" si="1"/>
        <v>4.7266259915184534</v>
      </c>
    </row>
    <row r="15" spans="1:16" x14ac:dyDescent="0.2">
      <c r="A15" s="385" t="str">
        <f>IF(Table!A15&lt;&gt;"",Table!A15,"")</f>
        <v>ספטמבר</v>
      </c>
      <c r="B15" s="228">
        <f>ספיקות!B14</f>
        <v>35596</v>
      </c>
      <c r="C15" s="162">
        <f>IF(AND(B15&lt;&gt;"",'איכות שפכים'!C14&lt;&gt;""),B15*'איכות שפכים'!C14/1000, "")</f>
        <v>12458.6</v>
      </c>
      <c r="D15" s="164">
        <f>IF(AND(B15&lt;&gt;"",'איכות שפכים'!D14&lt;&gt;""),B15*'איכות שפכים'!D14/1000, "")</f>
        <v>26737.681142857142</v>
      </c>
      <c r="E15" s="163">
        <f>IF(AND(B15&lt;&gt;"",'איכות שפכים'!E14&lt;&gt;""),B15*'איכות שפכים'!E14/1000, "")</f>
        <v>11797.531428571428</v>
      </c>
      <c r="F15" s="163">
        <f>IF(AND(B15&lt;&gt;"",'איכות שפכים'!F14&lt;&gt;""),B15*'איכות שפכים'!F14/1000, "")</f>
        <v>1293.1518285714285</v>
      </c>
      <c r="G15" s="280">
        <f>IF(AND(B15&lt;&gt;"",'איכות שפכים'!I14&lt;&gt;""),B15*'איכות שפכים'!I14/1000, "")</f>
        <v>222.47499999999999</v>
      </c>
      <c r="H15" s="281">
        <f>IF(AND('קולחין שניוני'!C14&lt;&gt;"",'איכות שפכים'!C14&lt;&gt;""),100%-('קולחין שניוני'!C14/'איכות שפכים'!C14), "")</f>
        <v>0.98190476190476195</v>
      </c>
      <c r="I15" s="279">
        <f>IF(AND('קולחין שניוני'!D14&lt;&gt;"",'איכות שפכים'!D14&lt;&gt;""),100%-('קולחין שניוני'!D14/'איכות שפכים'!D14), "")</f>
        <v>0.97514897933307976</v>
      </c>
      <c r="J15" s="278">
        <f>IF(AND('קולחין שניוני'!E14&lt;&gt;"",'איכות שפכים'!E14&lt;&gt;""),100%-('קולחין שניוני'!E14/'איכות שפכים'!E14), "")</f>
        <v>0.96027298850574716</v>
      </c>
      <c r="K15" s="278">
        <f>IF(AND('קולחין שניוני'!F14&lt;&gt;"",'איכות שפכים'!F14&lt;&gt;""),100%-('קולחין שניוני'!F14/'איכות שפכים'!F14), "")</f>
        <v>0.63573207497706119</v>
      </c>
      <c r="L15" s="279">
        <f>IF(AND('קולחין שניוני'!H14&lt;&gt;"",'איכות שפכים'!I14&lt;&gt;""),100%-('קולחין שניוני'!H14/'איכות שפכים'!I14), "")</f>
        <v>0.33066666666666678</v>
      </c>
      <c r="M15" s="227">
        <f>IF(Table!CR15&lt;&gt;"",Table!CR15,"")</f>
        <v>57750</v>
      </c>
      <c r="N15" s="227">
        <f>M15/30</f>
        <v>1925</v>
      </c>
      <c r="O15" s="156">
        <f t="shared" si="0"/>
        <v>1.6223733003708283</v>
      </c>
      <c r="P15" s="158">
        <f t="shared" si="1"/>
        <v>4.6353522867737951</v>
      </c>
    </row>
    <row r="16" spans="1:16" x14ac:dyDescent="0.2">
      <c r="A16" s="385" t="str">
        <f>IF(Table!A16&lt;&gt;"",Table!A16,"")</f>
        <v>אוקטובר</v>
      </c>
      <c r="B16" s="228">
        <f>ספיקות!B15</f>
        <v>39451</v>
      </c>
      <c r="C16" s="162">
        <f>IF(AND(B16&lt;&gt;"",'איכות שפכים'!C15&lt;&gt;""),B16*'איכות שפכים'!C15/1000, "")</f>
        <v>15879.0275</v>
      </c>
      <c r="D16" s="164">
        <f>IF(AND(B16&lt;&gt;"",'איכות שפכים'!D15&lt;&gt;""),B16*'איכות שפכים'!D15/1000, "")</f>
        <v>30684.987799999995</v>
      </c>
      <c r="E16" s="163">
        <f>IF(AND(B16&lt;&gt;"",'איכות שפכים'!E15&lt;&gt;""),B16*'איכות שפכים'!E15/1000, "")</f>
        <v>14967.709399999998</v>
      </c>
      <c r="F16" s="163">
        <f>IF(AND(B16&lt;&gt;"",'איכות שפכים'!F15&lt;&gt;""),B16*'איכות שפכים'!F15/1000, "")</f>
        <v>1782.1989250000004</v>
      </c>
      <c r="G16" s="280">
        <f>IF(AND(B16&lt;&gt;"",'איכות שפכים'!I15&lt;&gt;""),B16*'איכות שפכים'!I15/1000, "")</f>
        <v>271.64972324999997</v>
      </c>
      <c r="H16" s="281">
        <f>IF(AND('קולחין שניוני'!C15&lt;&gt;"",'איכות שפכים'!C15&lt;&gt;""),100%-('קולחין שניוני'!C15/'איכות שפכים'!C15), "")</f>
        <v>0.98757763975155277</v>
      </c>
      <c r="I16" s="279">
        <f>IF(AND('קולחין שניוני'!D15&lt;&gt;"",'איכות שפכים'!D15&lt;&gt;""),100%-('קולחין שניוני'!D15/'איכות שפכים'!D15), "")</f>
        <v>0.96496528670609416</v>
      </c>
      <c r="J16" s="278">
        <f>IF(AND('קולחין שניוני'!E15&lt;&gt;"",'איכות שפכים'!E15&lt;&gt;""),100%-('קולחין שניוני'!E15/'איכות שפכים'!E15), "")</f>
        <v>0.97430152872957299</v>
      </c>
      <c r="K16" s="278">
        <f>IF(AND('קולחין שניוני'!F15&lt;&gt;"",'איכות שפכים'!F15&lt;&gt;""),100%-('קולחין שניוני'!F15/'איכות שפכים'!F15), "")</f>
        <v>0.73657996679579418</v>
      </c>
      <c r="L16" s="279">
        <f>IF(AND('קולחין שניוני'!H15&lt;&gt;"",'איכות שפכים'!I15&lt;&gt;""),100%-('קולחין שניוני'!H15/'איכות שפכים'!I15), "")</f>
        <v>-0.56845659514214142</v>
      </c>
      <c r="M16" s="227">
        <f>IF(Table!CR16&lt;&gt;"",Table!CR16,"")</f>
        <v>46212</v>
      </c>
      <c r="N16" s="227">
        <f>M16/31</f>
        <v>1490.7096774193549</v>
      </c>
      <c r="O16" s="156">
        <f t="shared" si="0"/>
        <v>1.1713771514030062</v>
      </c>
      <c r="P16" s="158">
        <f t="shared" si="1"/>
        <v>2.9102537923056055</v>
      </c>
    </row>
    <row r="17" spans="1:16" x14ac:dyDescent="0.2">
      <c r="A17" s="385" t="str">
        <f>IF(Table!A17&lt;&gt;"",Table!A17,"")</f>
        <v>נובמבר</v>
      </c>
      <c r="B17" s="228">
        <f>ספיקות!B16</f>
        <v>37242</v>
      </c>
      <c r="C17" s="162">
        <f>IF(AND(B17&lt;&gt;"",'איכות שפכים'!C16&lt;&gt;""),B17*'איכות שפכים'!C16/1000, "")</f>
        <v>12476.07</v>
      </c>
      <c r="D17" s="164">
        <f>IF(AND(B17&lt;&gt;"",'איכות שפכים'!D16&lt;&gt;""),B17*'איכות שפכים'!D16/1000, "")</f>
        <v>38336.914800000006</v>
      </c>
      <c r="E17" s="163">
        <f>IF(AND(B17&lt;&gt;"",'איכות שפכים'!E16&lt;&gt;""),B17*'איכות שפכים'!E16/1000, "")</f>
        <v>15649.088400000001</v>
      </c>
      <c r="F17" s="163">
        <f>IF(AND(B17&lt;&gt;"",'איכות שפכים'!F16&lt;&gt;""),B17*'איכות שפכים'!F16/1000, "")</f>
        <v>1757.8224</v>
      </c>
      <c r="G17" s="280">
        <f>IF(AND(B17&lt;&gt;"",'איכות שפכים'!I16&lt;&gt;""),B17*'איכות שפכים'!I16/1000, "")</f>
        <v>378.00630000000001</v>
      </c>
      <c r="H17" s="281">
        <f>IF(AND('קולחין שניוני'!C16&lt;&gt;"",'איכות שפכים'!C16&lt;&gt;""),100%-('קולחין שניוני'!C16/'איכות שפכים'!C16), "")</f>
        <v>0.9850746268656716</v>
      </c>
      <c r="I17" s="279">
        <f>IF(AND('קולחין שניוני'!D16&lt;&gt;"",'איכות שפכים'!D16&lt;&gt;""),100%-('קולחין שניוני'!D16/'איכות שפכים'!D16), "")</f>
        <v>0.96502817175053424</v>
      </c>
      <c r="J17" s="278">
        <f>IF(AND('קולחין שניוני'!E16&lt;&gt;"",'איכות שפכים'!E16&lt;&gt;""),100%-('קולחין שניוני'!E16/'איכות שפכים'!E16), "")</f>
        <v>0.9751903855306997</v>
      </c>
      <c r="K17" s="278">
        <f>IF(AND('קולחין שניוני'!F16&lt;&gt;"",'איכות שפכים'!F16&lt;&gt;""),100%-('קולחין שניוני'!F16/'איכות שפכים'!F16), "")</f>
        <v>0.59887005649717517</v>
      </c>
      <c r="L17" s="279">
        <f>IF(AND('קולחין שניוני'!H16&lt;&gt;"",'איכות שפכים'!I16&lt;&gt;""),100%-('קולחין שניוני'!H16/'איכות שפכים'!I16), "")</f>
        <v>0.38587848932676516</v>
      </c>
      <c r="M17" s="227">
        <f>IF(Table!CR17&lt;&gt;"",Table!CR17,"")</f>
        <v>49914</v>
      </c>
      <c r="N17" s="227">
        <f>M17/30</f>
        <v>1663.8</v>
      </c>
      <c r="O17" s="156">
        <f t="shared" si="0"/>
        <v>1.3402609956500724</v>
      </c>
      <c r="P17" s="158">
        <f t="shared" si="1"/>
        <v>4.0007790914927535</v>
      </c>
    </row>
    <row r="18" spans="1:16" ht="13.5" thickBot="1" x14ac:dyDescent="0.25">
      <c r="A18" s="385" t="str">
        <f>IF(Table!A18&lt;&gt;"",Table!A18,"")</f>
        <v>דצמבר</v>
      </c>
      <c r="B18" s="228">
        <f>ספיקות!B17</f>
        <v>41979</v>
      </c>
      <c r="C18" s="162">
        <f>IF(AND(B18&lt;&gt;"",'איכות שפכים'!C17&lt;&gt;""),B18*'איכות שפכים'!C17/1000, "")</f>
        <v>13779.606750000001</v>
      </c>
      <c r="D18" s="164">
        <f>IF(AND(B18&lt;&gt;"",'איכות שפכים'!D17&lt;&gt;""),B18*'איכות שפכים'!D17/1000, "")</f>
        <v>33058.462500000001</v>
      </c>
      <c r="E18" s="163">
        <f>IF(AND(B18&lt;&gt;"",'איכות שפכים'!E17&lt;&gt;""),B18*'איכות שפכים'!E17/1000, "")</f>
        <v>12945.274125</v>
      </c>
      <c r="F18" s="163">
        <f>IF(AND(B18&lt;&gt;"",'איכות שפכים'!F17&lt;&gt;""),B18*'איכות שפכים'!F17/1000, "")</f>
        <v>1567.9156500000001</v>
      </c>
      <c r="G18" s="280">
        <f>IF(AND(B18&lt;&gt;"",'איכות שפכים'!I17&lt;&gt;""),B18*'איכות שפכים'!I17/1000, "")</f>
        <v>337.23129999999998</v>
      </c>
      <c r="H18" s="281">
        <f>IF(AND('קולחין שניוני'!C17&lt;&gt;"",'איכות שפכים'!C17&lt;&gt;""),100%-('קולחין שניוני'!C17/'איכות שפכים'!C17), "")</f>
        <v>0.98629093678598634</v>
      </c>
      <c r="I18" s="279">
        <f>IF(AND('קולחין שניוני'!D17&lt;&gt;"",'איכות שפכים'!D17&lt;&gt;""),100%-('קולחין שניוני'!D17/'איכות שפכים'!D17), "")</f>
        <v>0.96529100529100531</v>
      </c>
      <c r="J18" s="278">
        <f>IF(AND('קולחין שניוני'!E17&lt;&gt;"",'איכות שפכים'!E17&lt;&gt;""),100%-('קולחין שניוני'!E17/'איכות שפכים'!E17), "")</f>
        <v>0.96595054722334817</v>
      </c>
      <c r="K18" s="278">
        <f>IF(AND('קולחין שניוני'!F17&lt;&gt;"",'איכות שפכים'!F17&lt;&gt;""),100%-('קולחין שניוני'!F17/'איכות שפכים'!F17), "")</f>
        <v>0.47657295850066939</v>
      </c>
      <c r="L18" s="279">
        <f>IF(AND('קולחין שניוני'!H17&lt;&gt;"",'איכות שפכים'!I17&lt;&gt;""),100%-('קולחין שניוני'!H17/'איכות שפכים'!I17), "")</f>
        <v>0.84738589211618254</v>
      </c>
      <c r="M18" s="227">
        <f>IF(Table!CR18&lt;&gt;"",Table!CR18,"")</f>
        <v>42648</v>
      </c>
      <c r="N18" s="227">
        <f>M18/31</f>
        <v>1375.741935483871</v>
      </c>
      <c r="O18" s="156">
        <f t="shared" si="0"/>
        <v>1.0159365396984206</v>
      </c>
      <c r="P18" s="158">
        <f t="shared" si="1"/>
        <v>3.0950084987004436</v>
      </c>
    </row>
    <row r="19" spans="1:16" x14ac:dyDescent="0.2">
      <c r="A19" s="394" t="s">
        <v>203</v>
      </c>
      <c r="B19" s="172">
        <f>SUM(B7:B18)</f>
        <v>434343.90322580643</v>
      </c>
      <c r="C19" s="168">
        <f>B19/1000*'איכות שפכים'!C19</f>
        <v>151398.8406865591</v>
      </c>
      <c r="D19" s="168">
        <f>B19/1000*'איכות שפכים'!D19</f>
        <v>365685.33544077049</v>
      </c>
      <c r="E19" s="168">
        <f>B19/1000*'איכות שפכים'!E19</f>
        <v>154370.47689112902</v>
      </c>
      <c r="F19" s="168">
        <f>B19/1000*'איכות שפכים'!F19</f>
        <v>17954.09646211021</v>
      </c>
      <c r="G19" s="266">
        <f>B19/1000*'איכות שפכים'!I19</f>
        <v>2945.6871726292557</v>
      </c>
      <c r="H19" s="282"/>
      <c r="I19" s="283"/>
      <c r="J19" s="284"/>
      <c r="K19" s="284"/>
      <c r="L19" s="285"/>
      <c r="M19" s="391">
        <f>SUM(M7:M18)</f>
        <v>594624</v>
      </c>
      <c r="N19" s="391"/>
      <c r="O19" s="352">
        <f>M19/B19</f>
        <v>1.3690165686310261</v>
      </c>
      <c r="P19" s="331"/>
    </row>
    <row r="20" spans="1:16" x14ac:dyDescent="0.2">
      <c r="A20" s="395" t="s">
        <v>3</v>
      </c>
      <c r="B20" s="183">
        <f t="shared" ref="B20:L20" si="2">AVERAGE(B7:B18)</f>
        <v>36195.3252688172</v>
      </c>
      <c r="C20" s="246">
        <f t="shared" si="2"/>
        <v>12600.602354365081</v>
      </c>
      <c r="D20" s="250">
        <f t="shared" si="2"/>
        <v>30366.416828571437</v>
      </c>
      <c r="E20" s="179">
        <f t="shared" si="2"/>
        <v>12773.500830158728</v>
      </c>
      <c r="F20" s="179">
        <f t="shared" si="2"/>
        <v>1500.0133989087301</v>
      </c>
      <c r="G20" s="286">
        <f t="shared" si="2"/>
        <v>250.97603427083334</v>
      </c>
      <c r="H20" s="287">
        <f t="shared" si="2"/>
        <v>0.98212551613379873</v>
      </c>
      <c r="I20" s="288">
        <f t="shared" si="2"/>
        <v>0.9675850424420217</v>
      </c>
      <c r="J20" s="289">
        <f t="shared" si="2"/>
        <v>0.95930824636019807</v>
      </c>
      <c r="K20" s="289">
        <f t="shared" si="2"/>
        <v>0.59012243685769905</v>
      </c>
      <c r="L20" s="290">
        <f t="shared" si="2"/>
        <v>0.372155630596676</v>
      </c>
      <c r="M20" s="392">
        <f>AVERAGE(M7:M18)</f>
        <v>49552</v>
      </c>
      <c r="N20" s="392">
        <f>AVERAGE(N7:N18)</f>
        <v>1625.4115591397849</v>
      </c>
      <c r="O20" s="291">
        <f>AVERAGE(O7:O19)</f>
        <v>1.2784134998369805</v>
      </c>
      <c r="P20" s="185">
        <f>AVERAGE(P7:P18)</f>
        <v>4.0148132397007021</v>
      </c>
    </row>
    <row r="21" spans="1:16" x14ac:dyDescent="0.2">
      <c r="A21" s="395" t="s">
        <v>17</v>
      </c>
      <c r="B21" s="183">
        <f t="shared" ref="B21:L21" si="3">MAX(B7:B18)</f>
        <v>41979</v>
      </c>
      <c r="C21" s="246">
        <f t="shared" si="3"/>
        <v>15879.0275</v>
      </c>
      <c r="D21" s="250">
        <f t="shared" si="3"/>
        <v>42518.32</v>
      </c>
      <c r="E21" s="179">
        <f t="shared" si="3"/>
        <v>18514.888625</v>
      </c>
      <c r="F21" s="179">
        <f t="shared" si="3"/>
        <v>1836.6687749999999</v>
      </c>
      <c r="G21" s="286">
        <f t="shared" si="3"/>
        <v>378.00630000000001</v>
      </c>
      <c r="H21" s="287">
        <f t="shared" si="3"/>
        <v>0.98757763975155277</v>
      </c>
      <c r="I21" s="288">
        <f t="shared" si="3"/>
        <v>0.97618219658845951</v>
      </c>
      <c r="J21" s="289">
        <f t="shared" si="3"/>
        <v>0.9751903855306997</v>
      </c>
      <c r="K21" s="289">
        <f t="shared" si="3"/>
        <v>0.76701066098081028</v>
      </c>
      <c r="L21" s="290">
        <f t="shared" si="3"/>
        <v>0.84738589211618254</v>
      </c>
      <c r="M21" s="392">
        <f>MAX(M7:M18)</f>
        <v>74034</v>
      </c>
      <c r="N21" s="392">
        <f>MAX(N7:N18)</f>
        <v>2388.1935483870966</v>
      </c>
      <c r="O21" s="291">
        <f>MAX(O7:O19)</f>
        <v>1.997787252415133</v>
      </c>
      <c r="P21" s="185">
        <f>MAX(P7:P18)</f>
        <v>7.8056832975377421</v>
      </c>
    </row>
    <row r="22" spans="1:16" ht="13.5" thickBot="1" x14ac:dyDescent="0.25">
      <c r="A22" s="396" t="s">
        <v>18</v>
      </c>
      <c r="B22" s="194">
        <f t="shared" ref="B22:L22" si="4">MIN(B7:B18)</f>
        <v>1212.9032258064517</v>
      </c>
      <c r="C22" s="251">
        <f t="shared" si="4"/>
        <v>410.68180000000001</v>
      </c>
      <c r="D22" s="255">
        <f t="shared" si="4"/>
        <v>1017.4401999999998</v>
      </c>
      <c r="E22" s="190">
        <f t="shared" si="4"/>
        <v>444.68739999999997</v>
      </c>
      <c r="F22" s="190">
        <f t="shared" si="4"/>
        <v>46.669799999999995</v>
      </c>
      <c r="G22" s="292">
        <f t="shared" si="4"/>
        <v>5.7924199999999999</v>
      </c>
      <c r="H22" s="293">
        <f t="shared" si="4"/>
        <v>0.96803977272727271</v>
      </c>
      <c r="I22" s="294">
        <f t="shared" si="4"/>
        <v>0.94570312499999998</v>
      </c>
      <c r="J22" s="295">
        <f t="shared" si="4"/>
        <v>0.94198312236286919</v>
      </c>
      <c r="K22" s="295">
        <f t="shared" si="4"/>
        <v>0.41014304291287385</v>
      </c>
      <c r="L22" s="296">
        <f t="shared" si="4"/>
        <v>-0.56845659514214142</v>
      </c>
      <c r="M22" s="393">
        <f>MIN(M7:M19)</f>
        <v>27594</v>
      </c>
      <c r="N22" s="393">
        <f>MIN(N7:N19)</f>
        <v>985.5</v>
      </c>
      <c r="O22" s="297">
        <f>MIN(O7:O19)</f>
        <v>0.72654028436018958</v>
      </c>
      <c r="P22" s="196">
        <f>MIN(P7:P18)</f>
        <v>2.2775557503454218</v>
      </c>
    </row>
    <row r="23" spans="1:16" x14ac:dyDescent="0.2">
      <c r="A23" s="657" t="s">
        <v>193</v>
      </c>
      <c r="B23" s="630" t="s">
        <v>205</v>
      </c>
      <c r="C23" s="690" t="s">
        <v>5</v>
      </c>
      <c r="D23" s="694" t="s">
        <v>4</v>
      </c>
      <c r="E23" s="694" t="s">
        <v>122</v>
      </c>
      <c r="F23" s="694" t="s">
        <v>126</v>
      </c>
      <c r="G23" s="696" t="s">
        <v>128</v>
      </c>
    </row>
    <row r="24" spans="1:16" ht="13.5" thickBot="1" x14ac:dyDescent="0.25">
      <c r="A24" s="698"/>
      <c r="B24" s="631"/>
      <c r="C24" s="691"/>
      <c r="D24" s="695"/>
      <c r="E24" s="695"/>
      <c r="F24" s="695"/>
      <c r="G24" s="697"/>
    </row>
    <row r="25" spans="1:16" ht="13.5" thickBot="1" x14ac:dyDescent="0.25">
      <c r="A25" s="658"/>
      <c r="B25" s="410" t="s">
        <v>188</v>
      </c>
      <c r="C25" s="87" t="s">
        <v>204</v>
      </c>
      <c r="D25" s="87" t="s">
        <v>204</v>
      </c>
      <c r="E25" s="87" t="s">
        <v>204</v>
      </c>
      <c r="F25" s="87" t="s">
        <v>204</v>
      </c>
      <c r="G25" s="87" t="s">
        <v>204</v>
      </c>
    </row>
    <row r="26" spans="1:16" x14ac:dyDescent="0.2">
      <c r="A26" s="385" t="str">
        <f>IF(Table!A7&lt;&gt;"",Table!A7,"")</f>
        <v>ינואר</v>
      </c>
      <c r="B26" s="228">
        <f>ספיקות!C6</f>
        <v>1212.9032258064517</v>
      </c>
      <c r="C26" s="162">
        <f>IF(AND(B26&lt;&gt;"",'איכות שפכים'!C6&lt;&gt;""),B26*'איכות שפכים'!C6/1000, "")</f>
        <v>416.51096774193553</v>
      </c>
      <c r="D26" s="164">
        <f>IF(AND(B26&lt;&gt;"",'איכות שפכים'!D6&lt;&gt;""),B26*'איכות שפכים'!D6/1000, "")</f>
        <v>1045.0374193548387</v>
      </c>
      <c r="E26" s="163">
        <f>IF(AND(B26&lt;&gt;"",'איכות שפכים'!E6&lt;&gt;""),B26*'איכות שפכים'!E6/1000, "")</f>
        <v>456.53677419354835</v>
      </c>
      <c r="F26" s="163">
        <f>IF(AND(B26&lt;&gt;"",'איכות שפכים'!F6&lt;&gt;""),B26*'איכות שפכים'!F6/1000, "")</f>
        <v>48.37058064516129</v>
      </c>
      <c r="G26" s="413">
        <f>IF(AND(B26&lt;&gt;"",'איכות שפכים'!I6&lt;&gt;""),B26*'איכות שפכים'!I6/1000, "")</f>
        <v>6.1615483870967749</v>
      </c>
    </row>
    <row r="27" spans="1:16" x14ac:dyDescent="0.2">
      <c r="A27" s="385" t="str">
        <f>IF(Table!A8&lt;&gt;"",Table!A8,"")</f>
        <v>פברואר</v>
      </c>
      <c r="B27" s="228">
        <f>ספיקות!C7</f>
        <v>1356.4285714285713</v>
      </c>
      <c r="C27" s="162">
        <f>IF(AND(B27&lt;&gt;"",'איכות שפכים'!C7&lt;&gt;""),B27*'איכות שפכים'!C7/1000, "")</f>
        <v>432.70071428571424</v>
      </c>
      <c r="D27" s="164">
        <f>IF(AND(B27&lt;&gt;"",'איכות שפכים'!D7&lt;&gt;""),B27*'איכות שפכים'!D7/1000, "")</f>
        <v>1159.7464285714284</v>
      </c>
      <c r="E27" s="163">
        <f>IF(AND(B27&lt;&gt;"",'איכות שפכים'!E7&lt;&gt;""),B27*'איכות שפכים'!E7/1000, "")</f>
        <v>428.6314285714285</v>
      </c>
      <c r="F27" s="163">
        <f>IF(AND(B27&lt;&gt;"",'איכות שפכים'!F7&lt;&gt;""),B27*'איכות שפכים'!F7/1000, "")</f>
        <v>65.244214285714278</v>
      </c>
      <c r="G27" s="413">
        <f>IF(AND(B27&lt;&gt;"",'איכות שפכים'!I7&lt;&gt;""),B27*'איכות שפכים'!I7/1000, "")</f>
        <v>6.7821428571428566</v>
      </c>
    </row>
    <row r="28" spans="1:16" x14ac:dyDescent="0.2">
      <c r="A28" s="385" t="str">
        <f>IF(Table!A9&lt;&gt;"",Table!A9,"")</f>
        <v>מרץ</v>
      </c>
      <c r="B28" s="228">
        <f>ספיקות!C8</f>
        <v>1352.0645161290322</v>
      </c>
      <c r="C28" s="162">
        <f>IF(AND(B28&lt;&gt;"",'איכות שפכים'!C8&lt;&gt;""),B28*'איכות שפכים'!C8/1000, "")</f>
        <v>317.28447311827955</v>
      </c>
      <c r="D28" s="164">
        <f>IF(AND(B28&lt;&gt;"",'איכות שפכים'!D8&lt;&gt;""),B28*'איכות שפכים'!D8/1000, "")</f>
        <v>865.32129032258058</v>
      </c>
      <c r="E28" s="163">
        <f>IF(AND(B28&lt;&gt;"",'איכות שפכים'!E8&lt;&gt;""),B28*'איכות שפכים'!E8/1000, "")</f>
        <v>328.55167741935486</v>
      </c>
      <c r="F28" s="163">
        <f>IF(AND(B28&lt;&gt;"",'איכות שפכים'!F8&lt;&gt;""),B28*'איכות שפכים'!F8/1000, "")</f>
        <v>56.06560860215054</v>
      </c>
      <c r="G28" s="413">
        <f>IF(AND(B28&lt;&gt;"",'איכות שפכים'!I8&lt;&gt;""),B28*'איכות שפכים'!I8/1000, "")</f>
        <v>10.410896774193548</v>
      </c>
    </row>
    <row r="29" spans="1:16" x14ac:dyDescent="0.2">
      <c r="A29" s="385" t="str">
        <f>IF(Table!A10&lt;&gt;"",Table!A10,"")</f>
        <v>אפריל</v>
      </c>
      <c r="B29" s="228">
        <f>ספיקות!C9</f>
        <v>1333.3666666666666</v>
      </c>
      <c r="C29" s="162">
        <f>IF(AND(B29&lt;&gt;"",'איכות שפכים'!C9&lt;&gt;""),B29*'איכות שפכים'!C9/1000, "")</f>
        <v>487.67885833333327</v>
      </c>
      <c r="D29" s="164">
        <f>IF(AND(B29&lt;&gt;"",'איכות שפכים'!D9&lt;&gt;""),B29*'איכות שפכים'!D9/1000, "")</f>
        <v>1040.0259999999998</v>
      </c>
      <c r="E29" s="163">
        <f>IF(AND(B29&lt;&gt;"",'איכות שפכים'!E9&lt;&gt;""),B29*'איכות שפכים'!E9/1000, "")</f>
        <v>465.67830833333329</v>
      </c>
      <c r="F29" s="163">
        <f>IF(AND(B29&lt;&gt;"",'איכות שפכים'!F9&lt;&gt;""),B29*'איכות שפכים'!F9/1000, "")</f>
        <v>48.967890833333321</v>
      </c>
      <c r="G29" s="413">
        <f>IF(AND(B29&lt;&gt;"",'איכות שפכים'!I9&lt;&gt;""),B29*'איכות שפכים'!I9/1000, "")</f>
        <v>8.8802219999999998</v>
      </c>
    </row>
    <row r="30" spans="1:16" x14ac:dyDescent="0.2">
      <c r="A30" s="385" t="str">
        <f>IF(Table!A11&lt;&gt;"",Table!A11,"")</f>
        <v>מאי</v>
      </c>
      <c r="B30" s="228">
        <f>ספיקות!C10</f>
        <v>1312.4193548387098</v>
      </c>
      <c r="C30" s="162">
        <f>IF(AND(B30&lt;&gt;"",'איכות שפכים'!C10&lt;&gt;""),B30*'איכות שפכים'!C10/1000, "")</f>
        <v>477.06443548387097</v>
      </c>
      <c r="D30" s="164">
        <f>IF(AND(B30&lt;&gt;"",'איכות שפכים'!D10&lt;&gt;""),B30*'איכות שפכים'!D10/1000, "")</f>
        <v>1145.9608333333333</v>
      </c>
      <c r="E30" s="163">
        <f>IF(AND(B30&lt;&gt;"",'איכות שפכים'!E10&lt;&gt;""),B30*'איכות שפכים'!E10/1000, "")</f>
        <v>477.72064516129035</v>
      </c>
      <c r="F30" s="163">
        <f>IF(AND(B30&lt;&gt;"",'איכות שפכים'!F10&lt;&gt;""),B30*'איכות שפכים'!F10/1000, "")</f>
        <v>54.268540322580648</v>
      </c>
      <c r="G30" s="413">
        <f>IF(AND(B30&lt;&gt;"",'איכות שפכים'!I10&lt;&gt;""),B30*'איכות שפכים'!I10/1000, "")</f>
        <v>8.0582548387096793</v>
      </c>
    </row>
    <row r="31" spans="1:16" x14ac:dyDescent="0.2">
      <c r="A31" s="385" t="str">
        <f>IF(Table!A12&lt;&gt;"",Table!A12,"")</f>
        <v>יוני</v>
      </c>
      <c r="B31" s="228">
        <f>ספיקות!C11</f>
        <v>1362.7666666666667</v>
      </c>
      <c r="C31" s="162">
        <f>IF(AND(B31&lt;&gt;"",'איכות שפכים'!C11&lt;&gt;""),B31*'איכות שפכים'!C11/1000, "")</f>
        <v>503.44494285714291</v>
      </c>
      <c r="D31" s="164">
        <f>IF(AND(B31&lt;&gt;"",'איכות שפכים'!D11&lt;&gt;""),B31*'איכות שפכים'!D11/1000, "")</f>
        <v>1417.2773333333332</v>
      </c>
      <c r="E31" s="163">
        <f>IF(AND(B31&lt;&gt;"",'איכות שפכים'!E11&lt;&gt;""),B31*'איכות שפכים'!E11/1000, "")</f>
        <v>617.16295416666662</v>
      </c>
      <c r="F31" s="163">
        <f>IF(AND(B31&lt;&gt;"",'איכות שפכים'!F11&lt;&gt;""),B31*'איכות שפכים'!F11/1000, "")</f>
        <v>61.222292499999995</v>
      </c>
      <c r="G31" s="413">
        <f>IF(AND(B31&lt;&gt;"",'איכות שפכים'!I11&lt;&gt;""),B31*'איכות שפכים'!I11/1000, "")</f>
        <v>9.9481966666666661</v>
      </c>
    </row>
    <row r="32" spans="1:16" x14ac:dyDescent="0.2">
      <c r="A32" s="385" t="str">
        <f>IF(Table!A13&lt;&gt;"",Table!A13,"")</f>
        <v>יולי</v>
      </c>
      <c r="B32" s="228">
        <f>ספיקות!C12</f>
        <v>1301.3548387096773</v>
      </c>
      <c r="C32" s="162">
        <f>IF(AND(B32&lt;&gt;"",'איכות שפכים'!C12&lt;&gt;""),B32*'איכות שפכים'!C12/1000, "")</f>
        <v>453.73905376344089</v>
      </c>
      <c r="D32" s="164">
        <f>IF(AND(B32&lt;&gt;"",'איכות שפכים'!D12&lt;&gt;""),B32*'איכות שפכים'!D12/1000, "")</f>
        <v>1087.0650752688171</v>
      </c>
      <c r="E32" s="163">
        <f>IF(AND(B32&lt;&gt;"",'איכות שפכים'!E12&lt;&gt;""),B32*'איכות שפכים'!E12/1000, "")</f>
        <v>462.19786021505377</v>
      </c>
      <c r="F32" s="163">
        <f>IF(AND(B32&lt;&gt;"",'איכות שפכים'!F12&lt;&gt;""),B32*'איכות שפכים'!F12/1000, "")</f>
        <v>50.037093548387084</v>
      </c>
      <c r="G32" s="413">
        <f>IF(AND(B32&lt;&gt;"",'איכות שפכים'!I12&lt;&gt;""),B32*'איכות שפכים'!I12/1000, "")</f>
        <v>7.0325215483870949</v>
      </c>
    </row>
    <row r="33" spans="1:7" x14ac:dyDescent="0.2">
      <c r="A33" s="385" t="str">
        <f>IF(Table!A14&lt;&gt;"",Table!A14,"")</f>
        <v>אוגוסט</v>
      </c>
      <c r="B33" s="228">
        <f>ספיקות!C13</f>
        <v>1195.4193548387098</v>
      </c>
      <c r="C33" s="162">
        <f>IF(AND(B33&lt;&gt;"",'איכות שפכים'!C13&lt;&gt;""),B33*'איכות שפכים'!C13/1000, "")</f>
        <v>505.26391397849471</v>
      </c>
      <c r="D33" s="164">
        <f>IF(AND(B33&lt;&gt;"",'איכות שפכים'!D13&lt;&gt;""),B33*'איכות שפכים'!D13/1000, "")</f>
        <v>1042.6049139784946</v>
      </c>
      <c r="E33" s="163">
        <f>IF(AND(B33&lt;&gt;"",'איכות שפכים'!E13&lt;&gt;""),B33*'איכות שפכים'!E13/1000, "")</f>
        <v>440.91050537634408</v>
      </c>
      <c r="F33" s="163">
        <f>IF(AND(B33&lt;&gt;"",'איכות שפכים'!F13&lt;&gt;""),B33*'איכות שפכים'!F13/1000, "")</f>
        <v>46.720973118279574</v>
      </c>
      <c r="G33" s="413">
        <f>IF(AND(B33&lt;&gt;"",'איכות שפכים'!I13&lt;&gt;""),B33*'איכות שפכים'!I13/1000, "")</f>
        <v>8.1049432258064513</v>
      </c>
    </row>
    <row r="34" spans="1:7" x14ac:dyDescent="0.2">
      <c r="A34" s="385" t="str">
        <f>IF(Table!A15&lt;&gt;"",Table!A15,"")</f>
        <v>ספטמבר</v>
      </c>
      <c r="B34" s="228">
        <f>ספיקות!C14</f>
        <v>1186.5333333333333</v>
      </c>
      <c r="C34" s="162">
        <f>IF(AND(B34&lt;&gt;"",'איכות שפכים'!C14&lt;&gt;""),B34*'איכות שפכים'!C14/1000, "")</f>
        <v>415.28666666666663</v>
      </c>
      <c r="D34" s="164">
        <f>IF(AND(B34&lt;&gt;"",'איכות שפכים'!D14&lt;&gt;""),B34*'איכות שפכים'!D14/1000, "")</f>
        <v>891.25603809523807</v>
      </c>
      <c r="E34" s="163">
        <f>IF(AND(B34&lt;&gt;"",'איכות שפכים'!E14&lt;&gt;""),B34*'איכות שפכים'!E14/1000, "")</f>
        <v>393.25104761904765</v>
      </c>
      <c r="F34" s="163">
        <f>IF(AND(B34&lt;&gt;"",'איכות שפכים'!F14&lt;&gt;""),B34*'איכות שפכים'!F14/1000, "")</f>
        <v>43.105060952380953</v>
      </c>
      <c r="G34" s="413">
        <f>IF(AND(B34&lt;&gt;"",'איכות שפכים'!I14&lt;&gt;""),B34*'איכות שפכים'!I14/1000, "")</f>
        <v>7.4158333333333326</v>
      </c>
    </row>
    <row r="35" spans="1:7" x14ac:dyDescent="0.2">
      <c r="A35" s="385" t="str">
        <f>IF(Table!A16&lt;&gt;"",Table!A16,"")</f>
        <v>אוקטובר</v>
      </c>
      <c r="B35" s="228">
        <f>ספיקות!C15</f>
        <v>1272.6129032258063</v>
      </c>
      <c r="C35" s="162">
        <f>IF(AND(B35&lt;&gt;"",'איכות שפכים'!C15&lt;&gt;""),B35*'איכות שפכים'!C15/1000, "")</f>
        <v>512.22669354838706</v>
      </c>
      <c r="D35" s="164">
        <f>IF(AND(B35&lt;&gt;"",'איכות שפכים'!D15&lt;&gt;""),B35*'איכות שפכים'!D15/1000, "")</f>
        <v>989.83831612903214</v>
      </c>
      <c r="E35" s="163">
        <f>IF(AND(B35&lt;&gt;"",'איכות שפכים'!E15&lt;&gt;""),B35*'איכות שפכים'!E15/1000, "")</f>
        <v>482.82933548387086</v>
      </c>
      <c r="F35" s="163">
        <f>IF(AND(B35&lt;&gt;"",'איכות שפכים'!F15&lt;&gt;""),B35*'איכות שפכים'!F15/1000, "")</f>
        <v>57.490287903225806</v>
      </c>
      <c r="G35" s="413">
        <f>IF(AND(B35&lt;&gt;"",'איכות שפכים'!I15&lt;&gt;""),B35*'איכות שפכים'!I15/1000, "")</f>
        <v>8.7628942983870974</v>
      </c>
    </row>
    <row r="36" spans="1:7" x14ac:dyDescent="0.2">
      <c r="A36" s="385" t="str">
        <f>IF(Table!A17&lt;&gt;"",Table!A17,"")</f>
        <v>נובמבר</v>
      </c>
      <c r="B36" s="228">
        <f>ספיקות!C16</f>
        <v>1241.4000000000001</v>
      </c>
      <c r="C36" s="162">
        <f>IF(AND(B36&lt;&gt;"",'איכות שפכים'!C16&lt;&gt;""),B36*'איכות שפכים'!C16/1000, "")</f>
        <v>415.86900000000009</v>
      </c>
      <c r="D36" s="164">
        <f>IF(AND(B36&lt;&gt;"",'איכות שפכים'!D16&lt;&gt;""),B36*'איכות שפכים'!D16/1000, "")</f>
        <v>1277.8971600000002</v>
      </c>
      <c r="E36" s="163">
        <f>IF(AND(B36&lt;&gt;"",'איכות שפכים'!E16&lt;&gt;""),B36*'איכות שפכים'!E16/1000, "")</f>
        <v>521.63628000000006</v>
      </c>
      <c r="F36" s="163">
        <f>IF(AND(B36&lt;&gt;"",'איכות שפכים'!F16&lt;&gt;""),B36*'איכות שפכים'!F16/1000, "")</f>
        <v>58.594080000000005</v>
      </c>
      <c r="G36" s="413">
        <f>IF(AND(B36&lt;&gt;"",'איכות שפכים'!I16&lt;&gt;""),B36*'איכות שפכים'!I16/1000, "")</f>
        <v>12.600210000000001</v>
      </c>
    </row>
    <row r="37" spans="1:7" ht="13.5" thickBot="1" x14ac:dyDescent="0.25">
      <c r="A37" s="385" t="str">
        <f>IF(Table!A18&lt;&gt;"",Table!A18,"")</f>
        <v>דצמבר</v>
      </c>
      <c r="B37" s="228">
        <f>ספיקות!C17</f>
        <v>1354.1612903225807</v>
      </c>
      <c r="C37" s="162">
        <f>IF(AND(B37&lt;&gt;"",'איכות שפכים'!C17&lt;&gt;""),B37*'איכות שפכים'!C17/1000, "")</f>
        <v>444.50344354838717</v>
      </c>
      <c r="D37" s="164">
        <f>IF(AND(B37&lt;&gt;"",'איכות שפכים'!D17&lt;&gt;""),B37*'איכות שפכים'!D17/1000, "")</f>
        <v>1066.4020161290323</v>
      </c>
      <c r="E37" s="163">
        <f>IF(AND(B37&lt;&gt;"",'איכות שפכים'!E17&lt;&gt;""),B37*'איכות שפכים'!E17/1000, "")</f>
        <v>417.5894879032258</v>
      </c>
      <c r="F37" s="163">
        <f>IF(AND(B37&lt;&gt;"",'איכות שפכים'!F17&lt;&gt;""),B37*'איכות שפכים'!F17/1000, "")</f>
        <v>50.577924193548398</v>
      </c>
      <c r="G37" s="413">
        <f>IF(AND(B37&lt;&gt;"",'איכות שפכים'!I17&lt;&gt;""),B37*'איכות שפכים'!I17/1000, "")</f>
        <v>10.878429032258065</v>
      </c>
    </row>
    <row r="38" spans="1:7" x14ac:dyDescent="0.2">
      <c r="A38" s="394" t="s">
        <v>203</v>
      </c>
      <c r="B38" s="172"/>
      <c r="C38" s="168">
        <f>B38/1000*'איכות שפכים'!C38</f>
        <v>0</v>
      </c>
      <c r="D38" s="168">
        <f>B38/1000*'איכות שפכים'!D38</f>
        <v>0</v>
      </c>
      <c r="E38" s="168">
        <f>B38/1000*'איכות שפכים'!E38</f>
        <v>0</v>
      </c>
      <c r="F38" s="168">
        <f>B38/1000*'איכות שפכים'!F38</f>
        <v>0</v>
      </c>
      <c r="G38" s="266">
        <f>B38/1000*'איכות שפכים'!I38</f>
        <v>0</v>
      </c>
    </row>
    <row r="39" spans="1:7" x14ac:dyDescent="0.2">
      <c r="A39" s="395" t="s">
        <v>3</v>
      </c>
      <c r="B39" s="183">
        <f t="shared" ref="B39:G39" si="5">AVERAGE(B26:B37)</f>
        <v>1290.1192268305174</v>
      </c>
      <c r="C39" s="246">
        <f t="shared" si="5"/>
        <v>448.46443027713775</v>
      </c>
      <c r="D39" s="250">
        <f t="shared" si="5"/>
        <v>1085.7027353763442</v>
      </c>
      <c r="E39" s="179">
        <f t="shared" si="5"/>
        <v>457.72469203693032</v>
      </c>
      <c r="F39" s="179">
        <f t="shared" si="5"/>
        <v>53.388712242063484</v>
      </c>
      <c r="G39" s="117">
        <f t="shared" si="5"/>
        <v>8.7530077468317984</v>
      </c>
    </row>
    <row r="40" spans="1:7" x14ac:dyDescent="0.2">
      <c r="A40" s="395" t="s">
        <v>17</v>
      </c>
      <c r="B40" s="183">
        <f t="shared" ref="B40:G40" si="6">MAX(B26:B37)</f>
        <v>1362.7666666666667</v>
      </c>
      <c r="C40" s="246">
        <f t="shared" si="6"/>
        <v>512.22669354838706</v>
      </c>
      <c r="D40" s="250">
        <f t="shared" si="6"/>
        <v>1417.2773333333332</v>
      </c>
      <c r="E40" s="179">
        <f t="shared" si="6"/>
        <v>617.16295416666662</v>
      </c>
      <c r="F40" s="179">
        <f t="shared" si="6"/>
        <v>65.244214285714278</v>
      </c>
      <c r="G40" s="117">
        <f t="shared" si="6"/>
        <v>12.600210000000001</v>
      </c>
    </row>
    <row r="41" spans="1:7" ht="13.5" thickBot="1" x14ac:dyDescent="0.25">
      <c r="A41" s="396" t="s">
        <v>18</v>
      </c>
      <c r="B41" s="194">
        <f t="shared" ref="B41:G41" si="7">MIN(B26:B37)</f>
        <v>1186.5333333333333</v>
      </c>
      <c r="C41" s="251">
        <f t="shared" si="7"/>
        <v>317.28447311827955</v>
      </c>
      <c r="D41" s="255">
        <f t="shared" si="7"/>
        <v>865.32129032258058</v>
      </c>
      <c r="E41" s="190">
        <f t="shared" si="7"/>
        <v>328.55167741935486</v>
      </c>
      <c r="F41" s="190">
        <f t="shared" si="7"/>
        <v>43.105060952380953</v>
      </c>
      <c r="G41" s="126">
        <f t="shared" si="7"/>
        <v>6.1615483870967749</v>
      </c>
    </row>
  </sheetData>
  <sheetProtection formatCells="0" formatColumns="0" formatRows="0"/>
  <protectedRanges>
    <protectedRange sqref="N7:N18" name="טווח1_1"/>
  </protectedRanges>
  <mergeCells count="28">
    <mergeCell ref="A23:A25"/>
    <mergeCell ref="B23:B24"/>
    <mergeCell ref="C23:C24"/>
    <mergeCell ref="D23:D24"/>
    <mergeCell ref="B4:B5"/>
    <mergeCell ref="E23:E24"/>
    <mergeCell ref="L4:L5"/>
    <mergeCell ref="J4:J5"/>
    <mergeCell ref="F23:F24"/>
    <mergeCell ref="G23:G24"/>
    <mergeCell ref="M5:N5"/>
    <mergeCell ref="M4:N4"/>
    <mergeCell ref="P4:P5"/>
    <mergeCell ref="M3:P3"/>
    <mergeCell ref="D2:P2"/>
    <mergeCell ref="O4:O6"/>
    <mergeCell ref="A2:C2"/>
    <mergeCell ref="H4:H5"/>
    <mergeCell ref="I4:I5"/>
    <mergeCell ref="D4:D5"/>
    <mergeCell ref="E4:E5"/>
    <mergeCell ref="F4:F5"/>
    <mergeCell ref="G4:G5"/>
    <mergeCell ref="A4:A6"/>
    <mergeCell ref="H3:L3"/>
    <mergeCell ref="C3:G3"/>
    <mergeCell ref="K4:K5"/>
    <mergeCell ref="C4:C5"/>
  </mergeCells>
  <phoneticPr fontId="6" type="noConversion"/>
  <printOptions horizontalCentered="1" verticalCentered="1"/>
  <pageMargins left="0.23622047244094491" right="0.19685039370078741" top="0.82677165354330717" bottom="0.59055118110236227" header="0.51181102362204722" footer="0.51181102362204722"/>
  <pageSetup paperSize="9" scale="85" orientation="landscape" horizontalDpi="200" verticalDpi="200" r:id="rId1"/>
  <headerFooter alignWithMargins="0">
    <oddHeader>&amp;C&amp;20&amp;Xא.ל.ד איכות הסביבה</oddHeader>
    <oddFooter>&amp;C&amp;16&amp;Yמכון טיהור שפכים להבים</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41"/>
  <sheetViews>
    <sheetView showGridLines="0" showZeros="0" rightToLeft="1" topLeftCell="A7" workbookViewId="0">
      <selection activeCell="I39" sqref="I39"/>
    </sheetView>
  </sheetViews>
  <sheetFormatPr defaultColWidth="9.140625" defaultRowHeight="12.75" x14ac:dyDescent="0.2"/>
  <cols>
    <col min="1" max="1" width="7.140625" style="2" bestFit="1" customWidth="1"/>
    <col min="2" max="2" width="6" style="2" bestFit="1" customWidth="1"/>
    <col min="3" max="3" width="10.7109375" style="2" customWidth="1"/>
    <col min="4" max="4" width="7.5703125" style="2" customWidth="1"/>
    <col min="5" max="5" width="8.28515625" style="2" customWidth="1"/>
    <col min="6" max="7" width="7.7109375" style="2" customWidth="1"/>
    <col min="8" max="8" width="6.140625" style="2" customWidth="1"/>
    <col min="9" max="9" width="6.7109375" style="2" customWidth="1"/>
    <col min="10" max="10" width="15.140625" style="2" bestFit="1" customWidth="1"/>
    <col min="11" max="11" width="14.28515625" style="2" bestFit="1" customWidth="1"/>
    <col min="12" max="12" width="10.85546875" style="2" bestFit="1" customWidth="1"/>
    <col min="13" max="13" width="9.7109375" style="2" bestFit="1" customWidth="1"/>
    <col min="14" max="14" width="15.7109375" style="2" bestFit="1" customWidth="1"/>
    <col min="15" max="15" width="10.85546875" style="2" bestFit="1" customWidth="1"/>
    <col min="16" max="16" width="10.7109375" style="27" bestFit="1" customWidth="1"/>
    <col min="17" max="17" width="14.140625" style="27" bestFit="1" customWidth="1"/>
    <col min="18" max="16384" width="9.140625" style="2"/>
  </cols>
  <sheetData>
    <row r="1" spans="1:19" ht="18" x14ac:dyDescent="0.25">
      <c r="A1" s="17"/>
      <c r="B1" s="18"/>
      <c r="C1" s="18"/>
      <c r="D1" s="18"/>
      <c r="E1" s="18"/>
      <c r="F1" s="18"/>
      <c r="G1" s="18"/>
      <c r="H1" s="18"/>
      <c r="I1" s="18"/>
      <c r="J1" s="18"/>
      <c r="K1" s="18"/>
      <c r="L1" s="18"/>
      <c r="M1" s="18"/>
      <c r="N1" s="18"/>
      <c r="O1" s="4"/>
      <c r="P1" s="2"/>
      <c r="Q1" s="2"/>
    </row>
    <row r="2" spans="1:19" x14ac:dyDescent="0.2">
      <c r="P2" s="2"/>
      <c r="Q2" s="2"/>
    </row>
    <row r="3" spans="1:19" ht="15.75" x14ac:dyDescent="0.25">
      <c r="A3" s="19"/>
      <c r="B3" s="20"/>
      <c r="C3" s="21"/>
      <c r="D3" s="20"/>
      <c r="E3" s="5"/>
      <c r="F3" s="708"/>
      <c r="G3" s="708"/>
      <c r="H3" s="708"/>
      <c r="I3" s="708"/>
      <c r="J3" s="708"/>
      <c r="K3" s="708"/>
      <c r="L3" s="708"/>
      <c r="M3" s="708"/>
      <c r="N3" s="708"/>
      <c r="O3" s="708"/>
      <c r="P3" s="708"/>
      <c r="Q3" s="2"/>
    </row>
    <row r="4" spans="1:19" ht="13.5" customHeight="1" x14ac:dyDescent="0.2">
      <c r="A4" s="707"/>
      <c r="B4" s="707"/>
      <c r="C4" s="705"/>
      <c r="D4" s="707"/>
      <c r="E4" s="707"/>
      <c r="F4" s="707"/>
      <c r="G4" s="707"/>
      <c r="H4" s="707"/>
      <c r="I4" s="707"/>
      <c r="J4" s="707"/>
      <c r="K4" s="707"/>
      <c r="L4" s="707"/>
      <c r="M4" s="707"/>
      <c r="N4" s="707"/>
      <c r="O4" s="707"/>
      <c r="P4" s="707"/>
      <c r="Q4" s="707"/>
      <c r="R4" s="22"/>
      <c r="S4" s="22"/>
    </row>
    <row r="5" spans="1:19" ht="12.75" customHeight="1" x14ac:dyDescent="0.2">
      <c r="A5" s="704"/>
      <c r="B5" s="705"/>
      <c r="C5" s="705"/>
      <c r="D5" s="22"/>
      <c r="E5" s="22"/>
      <c r="F5" s="22"/>
      <c r="G5" s="22"/>
      <c r="H5" s="22"/>
      <c r="I5" s="22"/>
      <c r="J5" s="22"/>
      <c r="K5" s="22"/>
      <c r="L5" s="22"/>
      <c r="M5" s="22"/>
      <c r="N5" s="22"/>
      <c r="O5" s="22"/>
      <c r="P5" s="23"/>
      <c r="Q5" s="23"/>
      <c r="R5" s="22"/>
      <c r="S5" s="22"/>
    </row>
    <row r="6" spans="1:19" x14ac:dyDescent="0.2">
      <c r="A6" s="704"/>
      <c r="B6" s="705"/>
      <c r="C6" s="22"/>
      <c r="D6" s="22"/>
      <c r="E6" s="22"/>
      <c r="F6" s="22"/>
      <c r="G6" s="22"/>
      <c r="H6" s="22"/>
      <c r="I6" s="22"/>
      <c r="J6" s="22"/>
      <c r="K6" s="22"/>
      <c r="L6" s="22"/>
      <c r="M6" s="22"/>
      <c r="N6" s="22"/>
      <c r="O6" s="22"/>
      <c r="P6" s="23"/>
      <c r="Q6" s="23"/>
    </row>
    <row r="7" spans="1:19" x14ac:dyDescent="0.2">
      <c r="A7" s="24"/>
      <c r="B7" s="24"/>
      <c r="C7" s="3"/>
      <c r="D7" s="25"/>
      <c r="E7" s="25"/>
      <c r="F7" s="25"/>
      <c r="G7" s="25"/>
      <c r="H7" s="25"/>
      <c r="I7" s="25"/>
      <c r="J7" s="25"/>
      <c r="K7" s="25"/>
      <c r="L7" s="25"/>
      <c r="M7" s="25"/>
      <c r="N7" s="25"/>
      <c r="O7" s="24"/>
      <c r="P7" s="26"/>
      <c r="Q7" s="26"/>
    </row>
    <row r="8" spans="1:19" x14ac:dyDescent="0.2">
      <c r="A8" s="24"/>
      <c r="B8" s="24"/>
      <c r="C8" s="3"/>
      <c r="D8" s="25"/>
      <c r="E8" s="25"/>
      <c r="F8" s="25"/>
      <c r="G8" s="25"/>
      <c r="H8" s="25"/>
      <c r="I8" s="25"/>
      <c r="J8" s="25"/>
      <c r="K8" s="25"/>
      <c r="L8" s="25"/>
      <c r="M8" s="25"/>
      <c r="N8" s="25"/>
      <c r="O8" s="24"/>
      <c r="P8" s="26"/>
      <c r="Q8" s="26"/>
    </row>
    <row r="9" spans="1:19" x14ac:dyDescent="0.2">
      <c r="A9" s="24"/>
      <c r="B9" s="24"/>
      <c r="C9" s="3"/>
      <c r="D9" s="25"/>
      <c r="E9" s="25"/>
      <c r="F9" s="25"/>
      <c r="G9" s="25"/>
      <c r="H9" s="25"/>
      <c r="I9" s="25"/>
      <c r="J9" s="25"/>
      <c r="K9" s="25"/>
      <c r="L9" s="25"/>
      <c r="M9" s="25"/>
      <c r="N9" s="25"/>
      <c r="O9" s="24"/>
      <c r="P9" s="26"/>
      <c r="Q9" s="26"/>
    </row>
    <row r="10" spans="1:19" x14ac:dyDescent="0.2">
      <c r="A10" s="24"/>
      <c r="B10" s="24"/>
      <c r="C10" s="3"/>
      <c r="D10" s="25"/>
      <c r="E10" s="25"/>
      <c r="F10" s="25"/>
      <c r="G10" s="25"/>
      <c r="H10" s="25"/>
      <c r="I10" s="25"/>
      <c r="J10" s="25"/>
      <c r="K10" s="25"/>
      <c r="L10" s="25"/>
      <c r="M10" s="25"/>
      <c r="N10" s="25"/>
      <c r="O10" s="24"/>
      <c r="P10" s="26"/>
      <c r="Q10" s="26"/>
    </row>
    <row r="11" spans="1:19" x14ac:dyDescent="0.2">
      <c r="A11" s="24"/>
      <c r="B11" s="24"/>
      <c r="C11" s="3"/>
      <c r="D11" s="25"/>
      <c r="E11" s="25"/>
      <c r="F11" s="25"/>
      <c r="G11" s="25"/>
      <c r="H11" s="25"/>
      <c r="I11" s="25"/>
      <c r="J11" s="25"/>
      <c r="K11" s="25"/>
      <c r="L11" s="25"/>
      <c r="M11" s="25"/>
      <c r="N11" s="25"/>
      <c r="O11" s="24"/>
      <c r="P11" s="26"/>
      <c r="Q11" s="26"/>
    </row>
    <row r="12" spans="1:19" x14ac:dyDescent="0.2">
      <c r="A12" s="24"/>
      <c r="B12" s="24"/>
      <c r="C12" s="3"/>
      <c r="D12" s="25"/>
      <c r="E12" s="25"/>
      <c r="F12" s="25"/>
      <c r="G12" s="25"/>
      <c r="H12" s="25"/>
      <c r="I12" s="25"/>
      <c r="J12" s="25"/>
      <c r="K12" s="25"/>
      <c r="L12" s="25"/>
      <c r="M12" s="25"/>
      <c r="N12" s="25"/>
      <c r="O12" s="24"/>
      <c r="P12" s="26"/>
      <c r="Q12" s="26"/>
    </row>
    <row r="13" spans="1:19" x14ac:dyDescent="0.2">
      <c r="A13" s="24"/>
      <c r="B13" s="24"/>
      <c r="C13" s="3"/>
      <c r="D13" s="25"/>
      <c r="E13" s="25"/>
      <c r="F13" s="25"/>
      <c r="G13" s="25"/>
      <c r="H13" s="25"/>
      <c r="I13" s="25"/>
      <c r="J13" s="25"/>
      <c r="K13" s="25"/>
      <c r="L13" s="25"/>
      <c r="M13" s="25"/>
      <c r="N13" s="25"/>
      <c r="O13" s="24"/>
      <c r="P13" s="26"/>
      <c r="Q13" s="26"/>
    </row>
    <row r="14" spans="1:19" x14ac:dyDescent="0.2">
      <c r="A14" s="24"/>
      <c r="B14" s="24"/>
      <c r="C14" s="3"/>
      <c r="D14" s="25"/>
      <c r="E14" s="25"/>
      <c r="F14" s="25"/>
      <c r="G14" s="25"/>
      <c r="H14" s="25"/>
      <c r="I14" s="25"/>
      <c r="J14" s="25"/>
      <c r="K14" s="25"/>
      <c r="L14" s="25"/>
      <c r="M14" s="25"/>
      <c r="N14" s="25"/>
      <c r="O14" s="24"/>
      <c r="P14" s="26"/>
      <c r="Q14" s="26"/>
    </row>
    <row r="15" spans="1:19" x14ac:dyDescent="0.2">
      <c r="A15" s="24"/>
      <c r="B15" s="24"/>
      <c r="C15" s="3"/>
      <c r="D15" s="25"/>
      <c r="E15" s="25"/>
      <c r="F15" s="25"/>
      <c r="G15" s="25"/>
      <c r="H15" s="25"/>
      <c r="I15" s="25"/>
      <c r="J15" s="25"/>
      <c r="K15" s="25"/>
      <c r="L15" s="25"/>
      <c r="M15" s="25"/>
      <c r="N15" s="25"/>
      <c r="O15" s="24"/>
      <c r="P15" s="26"/>
      <c r="Q15" s="26"/>
    </row>
    <row r="16" spans="1:19" x14ac:dyDescent="0.2">
      <c r="A16" s="24"/>
      <c r="B16" s="24"/>
      <c r="C16" s="3"/>
      <c r="D16" s="25"/>
      <c r="E16" s="25"/>
      <c r="F16" s="25"/>
      <c r="G16" s="25"/>
      <c r="H16" s="25"/>
      <c r="I16" s="25"/>
      <c r="J16" s="25"/>
      <c r="K16" s="25"/>
      <c r="L16" s="25"/>
      <c r="M16" s="25"/>
      <c r="N16" s="25"/>
      <c r="O16" s="24"/>
      <c r="P16" s="26"/>
      <c r="Q16" s="26"/>
    </row>
    <row r="17" spans="1:17" x14ac:dyDescent="0.2">
      <c r="A17" s="24"/>
      <c r="B17" s="24"/>
      <c r="C17" s="3"/>
      <c r="D17" s="25"/>
      <c r="E17" s="25"/>
      <c r="F17" s="25"/>
      <c r="G17" s="25"/>
      <c r="H17" s="25"/>
      <c r="I17" s="25"/>
      <c r="J17" s="25"/>
      <c r="K17" s="25"/>
      <c r="L17" s="25"/>
      <c r="M17" s="25"/>
      <c r="N17" s="25"/>
      <c r="O17" s="24"/>
      <c r="P17" s="26"/>
      <c r="Q17" s="26"/>
    </row>
    <row r="18" spans="1:17" x14ac:dyDescent="0.2">
      <c r="A18" s="24"/>
      <c r="B18" s="24"/>
      <c r="C18" s="3"/>
      <c r="D18" s="25"/>
      <c r="E18" s="25"/>
      <c r="F18" s="25"/>
      <c r="G18" s="25"/>
      <c r="H18" s="25"/>
      <c r="I18" s="25"/>
      <c r="J18" s="25"/>
      <c r="K18" s="25"/>
      <c r="L18" s="25"/>
      <c r="M18" s="25"/>
      <c r="N18" s="25"/>
      <c r="O18" s="24"/>
      <c r="P18" s="26"/>
      <c r="Q18" s="26"/>
    </row>
    <row r="19" spans="1:17" x14ac:dyDescent="0.2">
      <c r="A19" s="24"/>
      <c r="B19" s="24"/>
      <c r="C19" s="3"/>
      <c r="D19" s="25"/>
      <c r="E19" s="25"/>
      <c r="F19" s="25"/>
      <c r="G19" s="25"/>
      <c r="H19" s="25"/>
      <c r="I19" s="25"/>
      <c r="J19" s="25"/>
      <c r="K19" s="25"/>
      <c r="L19" s="25"/>
      <c r="M19" s="25"/>
      <c r="N19" s="25"/>
      <c r="O19" s="24"/>
      <c r="P19" s="26"/>
      <c r="Q19" s="26"/>
    </row>
    <row r="20" spans="1:17" x14ac:dyDescent="0.2">
      <c r="A20" s="24"/>
      <c r="B20" s="24"/>
      <c r="C20" s="3"/>
      <c r="D20" s="25"/>
      <c r="E20" s="25"/>
      <c r="F20" s="25"/>
      <c r="G20" s="25"/>
      <c r="H20" s="25"/>
      <c r="I20" s="25"/>
      <c r="J20" s="25"/>
      <c r="K20" s="25"/>
      <c r="L20" s="25"/>
      <c r="M20" s="25"/>
      <c r="N20" s="25"/>
      <c r="O20" s="24"/>
      <c r="P20" s="26"/>
      <c r="Q20" s="26"/>
    </row>
    <row r="21" spans="1:17" x14ac:dyDescent="0.2">
      <c r="A21" s="24"/>
      <c r="B21" s="24"/>
      <c r="C21" s="3"/>
      <c r="D21" s="25"/>
      <c r="E21" s="25"/>
      <c r="F21" s="25"/>
      <c r="G21" s="25"/>
      <c r="H21" s="25"/>
      <c r="I21" s="25"/>
      <c r="J21" s="25"/>
      <c r="K21" s="25"/>
      <c r="L21" s="25"/>
      <c r="M21" s="25"/>
      <c r="N21" s="25"/>
      <c r="O21" s="24"/>
      <c r="P21" s="26"/>
      <c r="Q21" s="26"/>
    </row>
    <row r="22" spans="1:17" x14ac:dyDescent="0.2">
      <c r="A22" s="24"/>
      <c r="B22" s="24"/>
      <c r="C22" s="3"/>
      <c r="D22" s="25"/>
      <c r="E22" s="25"/>
      <c r="F22" s="25"/>
      <c r="G22" s="25"/>
      <c r="H22" s="25"/>
      <c r="I22" s="25"/>
      <c r="J22" s="25"/>
      <c r="K22" s="25"/>
      <c r="L22" s="25"/>
      <c r="M22" s="25"/>
      <c r="N22" s="25"/>
      <c r="O22" s="24"/>
      <c r="P22" s="26"/>
      <c r="Q22" s="26"/>
    </row>
    <row r="23" spans="1:17" x14ac:dyDescent="0.2">
      <c r="A23" s="24"/>
      <c r="B23" s="24"/>
      <c r="C23" s="3"/>
      <c r="D23" s="25"/>
      <c r="E23" s="25"/>
      <c r="F23" s="25"/>
      <c r="G23" s="25"/>
      <c r="H23" s="25"/>
      <c r="I23" s="25"/>
      <c r="J23" s="25"/>
      <c r="K23" s="25"/>
      <c r="L23" s="25"/>
      <c r="M23" s="25"/>
      <c r="N23" s="25"/>
      <c r="O23" s="24"/>
      <c r="P23" s="26"/>
      <c r="Q23" s="26"/>
    </row>
    <row r="24" spans="1:17" x14ac:dyDescent="0.2">
      <c r="A24" s="24"/>
      <c r="B24" s="24"/>
      <c r="C24" s="3"/>
      <c r="D24" s="25"/>
      <c r="E24" s="25"/>
      <c r="F24" s="25"/>
      <c r="G24" s="25"/>
      <c r="H24" s="25"/>
      <c r="I24" s="25"/>
      <c r="J24" s="25"/>
      <c r="K24" s="25"/>
      <c r="L24" s="25"/>
      <c r="M24" s="25"/>
      <c r="N24" s="25"/>
      <c r="O24" s="24"/>
      <c r="P24" s="26"/>
      <c r="Q24" s="26"/>
    </row>
    <row r="25" spans="1:17" x14ac:dyDescent="0.2">
      <c r="A25" s="24"/>
      <c r="B25" s="24"/>
      <c r="C25" s="3"/>
      <c r="D25" s="25"/>
      <c r="E25" s="25"/>
      <c r="F25" s="25"/>
      <c r="G25" s="25"/>
      <c r="H25" s="25"/>
      <c r="I25" s="25"/>
      <c r="J25" s="25"/>
      <c r="K25" s="25"/>
      <c r="L25" s="25"/>
      <c r="M25" s="25"/>
      <c r="N25" s="25"/>
      <c r="O25" s="24"/>
      <c r="P25" s="26"/>
      <c r="Q25" s="26"/>
    </row>
    <row r="26" spans="1:17" x14ac:dyDescent="0.2">
      <c r="A26" s="24"/>
      <c r="B26" s="24"/>
      <c r="C26" s="3"/>
      <c r="D26" s="25"/>
      <c r="E26" s="25"/>
      <c r="F26" s="25"/>
      <c r="G26" s="25"/>
      <c r="H26" s="25"/>
      <c r="I26" s="25"/>
      <c r="J26" s="25"/>
      <c r="K26" s="25"/>
      <c r="L26" s="25"/>
      <c r="M26" s="25"/>
      <c r="N26" s="25"/>
      <c r="O26" s="24"/>
      <c r="P26" s="26"/>
      <c r="Q26" s="26"/>
    </row>
    <row r="27" spans="1:17" x14ac:dyDescent="0.2">
      <c r="A27" s="24"/>
      <c r="B27" s="24"/>
      <c r="C27" s="3"/>
      <c r="D27" s="25"/>
      <c r="E27" s="25"/>
      <c r="F27" s="25"/>
      <c r="G27" s="25"/>
      <c r="H27" s="25"/>
      <c r="I27" s="25"/>
      <c r="J27" s="25"/>
      <c r="K27" s="25"/>
      <c r="L27" s="25"/>
      <c r="M27" s="25"/>
      <c r="N27" s="25"/>
      <c r="O27" s="24"/>
      <c r="P27" s="26"/>
      <c r="Q27" s="26"/>
    </row>
    <row r="28" spans="1:17" x14ac:dyDescent="0.2">
      <c r="A28" s="24"/>
      <c r="B28" s="24"/>
      <c r="C28" s="3"/>
      <c r="D28" s="25"/>
      <c r="E28" s="25"/>
      <c r="F28" s="25"/>
      <c r="G28" s="25"/>
      <c r="H28" s="25"/>
      <c r="I28" s="25"/>
      <c r="J28" s="25"/>
      <c r="K28" s="25"/>
      <c r="L28" s="25"/>
      <c r="M28" s="25"/>
      <c r="N28" s="25"/>
      <c r="O28" s="24"/>
      <c r="P28" s="26"/>
      <c r="Q28" s="26"/>
    </row>
    <row r="29" spans="1:17" x14ac:dyDescent="0.2">
      <c r="A29" s="24"/>
      <c r="B29" s="24"/>
      <c r="C29" s="3"/>
      <c r="D29" s="25"/>
      <c r="E29" s="25"/>
      <c r="F29" s="25"/>
      <c r="G29" s="25"/>
      <c r="H29" s="25"/>
      <c r="I29" s="25"/>
      <c r="J29" s="25"/>
      <c r="K29" s="25"/>
      <c r="L29" s="25"/>
      <c r="M29" s="25"/>
      <c r="N29" s="25"/>
      <c r="O29" s="24"/>
      <c r="P29" s="26"/>
      <c r="Q29" s="26"/>
    </row>
    <row r="30" spans="1:17" x14ac:dyDescent="0.2">
      <c r="A30" s="24"/>
      <c r="B30" s="24"/>
      <c r="C30" s="3"/>
      <c r="D30" s="25"/>
      <c r="E30" s="25"/>
      <c r="F30" s="25"/>
      <c r="G30" s="25"/>
      <c r="H30" s="25"/>
      <c r="I30" s="25"/>
      <c r="J30" s="25"/>
      <c r="K30" s="25"/>
      <c r="L30" s="25"/>
      <c r="M30" s="25"/>
      <c r="N30" s="25"/>
      <c r="O30" s="24"/>
      <c r="P30" s="26"/>
      <c r="Q30" s="26"/>
    </row>
    <row r="31" spans="1:17" x14ac:dyDescent="0.2">
      <c r="A31" s="24"/>
      <c r="B31" s="24"/>
      <c r="C31" s="3"/>
      <c r="D31" s="25"/>
      <c r="E31" s="25"/>
      <c r="F31" s="25"/>
      <c r="G31" s="25"/>
      <c r="H31" s="25"/>
      <c r="I31" s="25"/>
      <c r="J31" s="25"/>
      <c r="K31" s="25"/>
      <c r="L31" s="25"/>
      <c r="M31" s="25"/>
      <c r="N31" s="25"/>
      <c r="O31" s="24"/>
      <c r="P31" s="26"/>
      <c r="Q31" s="26"/>
    </row>
    <row r="32" spans="1:17" x14ac:dyDescent="0.2">
      <c r="A32" s="24"/>
      <c r="B32" s="24"/>
      <c r="C32" s="3"/>
      <c r="D32" s="25"/>
      <c r="E32" s="25"/>
      <c r="F32" s="25"/>
      <c r="G32" s="25"/>
      <c r="H32" s="25"/>
      <c r="I32" s="25"/>
      <c r="J32" s="25"/>
      <c r="K32" s="25"/>
      <c r="L32" s="25"/>
      <c r="M32" s="25"/>
      <c r="N32" s="25"/>
      <c r="O32" s="24"/>
      <c r="P32" s="26"/>
      <c r="Q32" s="26"/>
    </row>
    <row r="33" spans="1:17" x14ac:dyDescent="0.2">
      <c r="A33" s="24"/>
      <c r="B33" s="24"/>
      <c r="C33" s="3"/>
      <c r="D33" s="25"/>
      <c r="E33" s="25"/>
      <c r="F33" s="25"/>
      <c r="G33" s="25"/>
      <c r="H33" s="25"/>
      <c r="I33" s="25"/>
      <c r="J33" s="25"/>
      <c r="K33" s="25"/>
      <c r="L33" s="25"/>
      <c r="M33" s="25"/>
      <c r="N33" s="25"/>
      <c r="O33" s="24"/>
      <c r="P33" s="26"/>
      <c r="Q33" s="26"/>
    </row>
    <row r="34" spans="1:17" x14ac:dyDescent="0.2">
      <c r="A34" s="24"/>
      <c r="B34" s="24"/>
      <c r="C34" s="3"/>
      <c r="D34" s="25"/>
      <c r="E34" s="25"/>
      <c r="F34" s="25"/>
      <c r="G34" s="25"/>
      <c r="H34" s="25"/>
      <c r="I34" s="25"/>
      <c r="J34" s="25"/>
      <c r="K34" s="25"/>
      <c r="L34" s="25"/>
      <c r="M34" s="25"/>
      <c r="N34" s="25"/>
      <c r="O34" s="24"/>
      <c r="P34" s="26"/>
      <c r="Q34" s="26"/>
    </row>
    <row r="35" spans="1:17" x14ac:dyDescent="0.2">
      <c r="A35" s="24"/>
      <c r="B35" s="24"/>
    </row>
    <row r="36" spans="1:17" x14ac:dyDescent="0.2">
      <c r="A36" s="24"/>
      <c r="B36" s="24"/>
    </row>
    <row r="37" spans="1:17" x14ac:dyDescent="0.2">
      <c r="A37" s="24"/>
      <c r="B37" s="24"/>
    </row>
    <row r="38" spans="1:17" x14ac:dyDescent="0.2">
      <c r="A38" s="706"/>
      <c r="B38" s="706"/>
    </row>
    <row r="39" spans="1:17" x14ac:dyDescent="0.2">
      <c r="A39" s="703"/>
      <c r="B39" s="703"/>
    </row>
    <row r="40" spans="1:17" x14ac:dyDescent="0.2">
      <c r="A40" s="703"/>
      <c r="B40" s="703"/>
    </row>
    <row r="41" spans="1:17" x14ac:dyDescent="0.2">
      <c r="A41" s="703"/>
      <c r="B41" s="703"/>
    </row>
  </sheetData>
  <mergeCells count="12">
    <mergeCell ref="N4:Q4"/>
    <mergeCell ref="F3:P3"/>
    <mergeCell ref="A4:B4"/>
    <mergeCell ref="D4:I4"/>
    <mergeCell ref="C4:C5"/>
    <mergeCell ref="J4:M4"/>
    <mergeCell ref="A40:B40"/>
    <mergeCell ref="A41:B41"/>
    <mergeCell ref="A5:A6"/>
    <mergeCell ref="B5:B6"/>
    <mergeCell ref="A38:B38"/>
    <mergeCell ref="A39:B39"/>
  </mergeCells>
  <phoneticPr fontId="6" type="noConversion"/>
  <printOptions horizontalCentered="1" verticalCentered="1"/>
  <pageMargins left="1.1811023622047245" right="0.59055118110236227" top="0.98425196850393704" bottom="1.1811023622047245" header="0.51181102362204722" footer="0.51181102362204722"/>
  <pageSetup paperSize="9" scale="76" fitToHeight="0" orientation="landscape" horizontalDpi="200" verticalDpi="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A929D2B6A61B49B905C058A761E22E" ma:contentTypeVersion="53" ma:contentTypeDescription="Create a new document." ma:contentTypeScope="" ma:versionID="c8cd0e8ca06c1d60533cf131e0829a84">
  <xsd:schema xmlns:xsd="http://www.w3.org/2001/XMLSchema" xmlns:xs="http://www.w3.org/2001/XMLSchema" xmlns:p="http://schemas.microsoft.com/office/2006/metadata/properties" xmlns:ns2="00dbb351-a3df-4f49-8be1-37de579110ae" xmlns:ns3="6bd09e9d-22ec-41c7-abc3-31a4b93de77c" xmlns:ns4="66de57b7-cc57-4e95-8777-9109a0275284" targetNamespace="http://schemas.microsoft.com/office/2006/metadata/properties" ma:root="true" ma:fieldsID="f365838400133b5d70b8545031ff2f04" ns2:_="" ns3:_="" ns4:_="">
    <xsd:import namespace="00dbb351-a3df-4f49-8be1-37de579110ae"/>
    <xsd:import namespace="6bd09e9d-22ec-41c7-abc3-31a4b93de77c"/>
    <xsd:import namespace="66de57b7-cc57-4e95-8777-9109a027528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_x05de__x05e1__x05e4__x05e8__x05e4__x05e8__x05d5__x05d9__x05e7__x05d8_" minOccurs="0"/>
                <xsd:element ref="ns2:_x05e9__x05dd__x05e4__x05e8__x05d5__x05d9__x05e7__x05d8_" minOccurs="0"/>
                <xsd:element ref="ns2:_x05e9__x05dd__x05dc__x05e7__x05d5__x05d7_"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4:SharedWithUsers" minOccurs="0"/>
                <xsd:element ref="ns4:SharedWithDetails" minOccurs="0"/>
                <xsd:element ref="ns2:MediaServiceObjectDetectorVersions" minOccurs="0"/>
                <xsd:element ref="ns2:_x05de__x05d7__x05dc__x05e7__x05d4_" minOccurs="0"/>
                <xsd:element ref="ns2:_x05ea__x05d7__x05d5__x05dd_" minOccurs="0"/>
                <xsd:element ref="ns2:_x05de__x05e0__x05d4__x05dc__x05d4__x05e4__x05e8__x05d5__x05d9__x05e7__x05d8_" minOccurs="0"/>
                <xsd:element ref="ns2:_x05de__x05e1__x05d4__x05e6__x05e2__x05ea__x05de__x05d7__x05d9__x05e8_" minOccurs="0"/>
                <xsd:element ref="ns2:_x05d0__x05d5__x05d8__x05d5__x05e7__x05d3_" minOccurs="0"/>
                <xsd:element ref="ns2:GIS" minOccurs="0"/>
                <xsd:element ref="ns2:_x05de__x05d5__x05d3__x05e8__x05d4__x05d9__x05d3__x05e8__x05d5__x05dc__x05d5__x05d2__x05d9_" minOccurs="0"/>
                <xsd:element ref="ns2:_x05de__x05d5__x05d3__x05dc__x05d0__x05d9__x05db__x05d5__x05ea__x05d0__x05d5__x05d5__x05d9__x05e8_" minOccurs="0"/>
                <xsd:element ref="ns2:_x05ea__x05d9__x05d5__x05d2__x05d9__x05dd_" minOccurs="0"/>
                <xsd:element ref="ns2:_x05e9__x05dd__x05d4__x05e6__x05e2__x05ea__x05d4__x05de__x05d7__x05d9__x05e8_" minOccurs="0"/>
                <xsd:element ref="ns2:_x05de__x05e0__x05d4__x05dc__x05d4__x05e6__x05e2__x05ea__x05d4__x05de__x05d7__x05d9__x05e8_" minOccurs="0"/>
                <xsd:element ref="ns2:_x05e9__x05dd__x05d4__x05dc__x05e7__x05d5__x05d7__x0028__x05d7__x05d1__x05e8__x05d4__x0029_" minOccurs="0"/>
                <xsd:element ref="ns2:MediaServiceSearchProperties" minOccurs="0"/>
                <xsd:element ref="ns2:_x05ea__x05ea__x05ea__x05d7__x05d5__x05dd_" minOccurs="0"/>
                <xsd:element ref="ns2:_x05d0__x05d7__x05e8__x05d0__x05d9__x05ea__x05d9__x05e7__x05d9__x05d9__x05d4_" minOccurs="0"/>
                <xsd:element ref="ns2:Revit" minOccurs="0"/>
                <xsd:element ref="ns2:_x05e9__x05dd__x0020__x05d4__x05e1__x05e4__x05e7_" minOccurs="0"/>
                <xsd:element ref="ns2:_x05ea__x05d7__x05d5__x05dd__x0020__x05e9__x05d9__x05e8__x05d5__x05ea__x0020__x05d4__x05e1__x05e4__x05e7_" minOccurs="0"/>
                <xsd:element ref="ns2:_x05d0__x05d9__x05e9__x05e7__x05e9__x05e8__x0028__x05dc__x05e7__x05d5__x05d7__x0029_" minOccurs="0"/>
                <xsd:element ref="ns2:_Flow_SignoffStatus" minOccurs="0"/>
                <xsd:element ref="ns2:Tags" minOccurs="0"/>
                <xsd:element ref="ns2:ProjectNam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dbb351-a3df-4f49-8be1-37de579110ae"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ba0faf19-31c5-45ee-bcc1-19114bc76282"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5de__x05e1__x05e4__x05e8__x05e4__x05e8__x05d5__x05d9__x05e7__x05d8_" ma:index="16" nillable="true" ma:displayName="מספר פרוייקט (MP)" ma:internalName="_x05de__x05e1__x05e4__x05e8__x05e4__x05e8__x05d5__x05d9__x05e7__x05d8_">
      <xsd:simpleType>
        <xsd:restriction base="dms:Text">
          <xsd:maxLength value="255"/>
        </xsd:restriction>
      </xsd:simpleType>
    </xsd:element>
    <xsd:element name="_x05e9__x05dd__x05e4__x05e8__x05d5__x05d9__x05e7__x05d8_" ma:index="17" nillable="true" ma:displayName="שם הפרויקט" ma:format="Dropdown" ma:internalName="_x05e9__x05dd__x05e4__x05e8__x05d5__x05d9__x05e7__x05d8_">
      <xsd:simpleType>
        <xsd:restriction base="dms:Text">
          <xsd:maxLength value="255"/>
        </xsd:restriction>
      </xsd:simpleType>
    </xsd:element>
    <xsd:element name="_x05e9__x05dd__x05dc__x05e7__x05d5__x05d7_" ma:index="18" nillable="true" ma:displayName="שם הלקוח" ma:format="Dropdown" ma:internalName="_x05e9__x05dd__x05dc__x05e7__x05d5__x05d7_">
      <xsd:simpleType>
        <xsd:restriction base="dms:Text">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_x05de__x05d7__x05dc__x05e7__x05d4_" ma:index="27" nillable="true" ma:displayName="מחלקה" ma:format="Dropdown" ma:internalName="_x05de__x05d7__x05dc__x05e7__x05d4_">
      <xsd:simpleType>
        <xsd:restriction base="dms:Choice">
          <xsd:enumeration value="חברה"/>
          <xsd:enumeration value="הנדסה"/>
          <xsd:enumeration value="ייעוץ"/>
          <xsd:enumeration value="הנהלה"/>
          <xsd:enumeration value="Safe AIr"/>
        </xsd:restriction>
      </xsd:simpleType>
    </xsd:element>
    <xsd:element name="_x05ea__x05d7__x05d5__x05dd_" ma:index="28" nillable="true" ma:displayName="תחום" ma:format="Dropdown" ma:internalName="_x05ea__x05d7__x05d5__x05dd_">
      <xsd:simpleType>
        <xsd:restriction base="dms:Choice">
          <xsd:enumeration value="מט&quot;שים"/>
          <xsd:enumeration value="הידרולוגיה"/>
          <xsd:enumeration value="אוויר וריח"/>
          <xsd:enumeration value="חומרים מסוכנים"/>
          <xsd:enumeration value="שק&quot;ד"/>
          <xsd:enumeration value="כלכלה ומדיניות"/>
          <xsd:enumeration value="תשתיות פסולת"/>
          <xsd:enumeration value="ניהול פרוייקטים"/>
          <xsd:enumeration value="אקלים וקיימות"/>
          <xsd:enumeration value="ייעוץ חו&quot;ל"/>
          <xsd:enumeration value="Safe Air"/>
          <xsd:enumeration value="משאבי מים"/>
          <xsd:enumeration value="בניה ירוקה"/>
        </xsd:restriction>
      </xsd:simpleType>
    </xsd:element>
    <xsd:element name="_x05de__x05e0__x05d4__x05dc__x05d4__x05e4__x05e8__x05d5__x05d9__x05e7__x05d8_" ma:index="29" nillable="true" ma:displayName="מנהל הפרויקט" ma:format="Dropdown" ma:internalName="_x05de__x05e0__x05d4__x05dc__x05d4__x05e4__x05e8__x05d5__x05d9__x05e7__x05d8_">
      <xsd:simpleType>
        <xsd:restriction base="dms:Text">
          <xsd:maxLength value="255"/>
        </xsd:restriction>
      </xsd:simpleType>
    </xsd:element>
    <xsd:element name="_x05de__x05e1__x05d4__x05e6__x05e2__x05ea__x05de__x05d7__x05d9__x05e8_" ma:index="30" nillable="true" ma:displayName="מס' הצעת מחיר" ma:internalName="_x05de__x05e1__x05d4__x05e6__x05e2__x05ea__x05de__x05d7__x05d9__x05e8_">
      <xsd:simpleType>
        <xsd:restriction base="dms:Text">
          <xsd:maxLength value="255"/>
        </xsd:restriction>
      </xsd:simpleType>
    </xsd:element>
    <xsd:element name="_x05d0__x05d5__x05d8__x05d5__x05e7__x05d3_" ma:index="31" nillable="true" ma:displayName="אוטוקד" ma:default="כן" ma:format="Dropdown" ma:internalName="_x05d0__x05d5__x05d8__x05d5__x05e7__x05d3_">
      <xsd:simpleType>
        <xsd:restriction base="dms:Choice">
          <xsd:enumeration value="כן"/>
          <xsd:enumeration value="לא"/>
        </xsd:restriction>
      </xsd:simpleType>
    </xsd:element>
    <xsd:element name="GIS" ma:index="32" nillable="true" ma:displayName="GIS" ma:default="כן" ma:format="RadioButtons" ma:internalName="GIS">
      <xsd:simpleType>
        <xsd:restriction base="dms:Choice">
          <xsd:enumeration value="כן"/>
          <xsd:enumeration value="לא"/>
        </xsd:restriction>
      </xsd:simpleType>
    </xsd:element>
    <xsd:element name="_x05de__x05d5__x05d3__x05e8__x05d4__x05d9__x05d3__x05e8__x05d5__x05dc__x05d5__x05d2__x05d9_" ma:index="33" nillable="true" ma:displayName="מודל הידרולוגי" ma:default="כן" ma:format="Dropdown" ma:internalName="_x05de__x05d5__x05d3__x05e8__x05d4__x05d9__x05d3__x05e8__x05d5__x05dc__x05d5__x05d2__x05d9_">
      <xsd:simpleType>
        <xsd:restriction base="dms:Choice">
          <xsd:enumeration value="כן"/>
          <xsd:enumeration value="לא"/>
        </xsd:restriction>
      </xsd:simpleType>
    </xsd:element>
    <xsd:element name="_x05de__x05d5__x05d3__x05dc__x05d0__x05d9__x05db__x05d5__x05ea__x05d0__x05d5__x05d5__x05d9__x05e8_" ma:index="34" nillable="true" ma:displayName="מודל איכות אוויר" ma:default="כן" ma:format="Dropdown" ma:internalName="_x05de__x05d5__x05d3__x05dc__x05d0__x05d9__x05db__x05d5__x05ea__x05d0__x05d5__x05d5__x05d9__x05e8_">
      <xsd:simpleType>
        <xsd:restriction base="dms:Choice">
          <xsd:enumeration value="כן"/>
          <xsd:enumeration value="לא"/>
        </xsd:restriction>
      </xsd:simpleType>
    </xsd:element>
    <xsd:element name="_x05ea__x05d9__x05d5__x05d2__x05d9__x05dd_" ma:index="35" nillable="true" ma:displayName="תיוגים" ma:internalName="_x05ea__x05d9__x05d5__x05d2__x05d9__x05dd_">
      <xsd:simpleType>
        <xsd:restriction base="dms:Note">
          <xsd:maxLength value="255"/>
        </xsd:restriction>
      </xsd:simpleType>
    </xsd:element>
    <xsd:element name="_x05e9__x05dd__x05d4__x05e6__x05e2__x05ea__x05d4__x05de__x05d7__x05d9__x05e8_" ma:index="36" nillable="true" ma:displayName="שם הצעת המחיר" ma:format="Dropdown" ma:internalName="_x05e9__x05dd__x05d4__x05e6__x05e2__x05ea__x05d4__x05de__x05d7__x05d9__x05e8_">
      <xsd:simpleType>
        <xsd:restriction base="dms:Text">
          <xsd:maxLength value="255"/>
        </xsd:restriction>
      </xsd:simpleType>
    </xsd:element>
    <xsd:element name="_x05de__x05e0__x05d4__x05dc__x05d4__x05e6__x05e2__x05ea__x05d4__x05de__x05d7__x05d9__x05e8_" ma:index="37" nillable="true" ma:displayName="מנהל הצעת מחיר" ma:format="Dropdown" ma:internalName="_x05de__x05e0__x05d4__x05dc__x05d4__x05e6__x05e2__x05ea__x05d4__x05de__x05d7__x05d9__x05e8_">
      <xsd:simpleType>
        <xsd:restriction base="dms:Text">
          <xsd:maxLength value="255"/>
        </xsd:restriction>
      </xsd:simpleType>
    </xsd:element>
    <xsd:element name="_x05e9__x05dd__x05d4__x05dc__x05e7__x05d5__x05d7__x0028__x05d7__x05d1__x05e8__x05d4__x0029_" ma:index="38" nillable="true" ma:displayName="שם הלקוח (חברה)" ma:format="Dropdown" ma:internalName="_x05e9__x05dd__x05d4__x05dc__x05e7__x05d5__x05d7__x0028__x05d7__x05d1__x05e8__x05d4__x0029_">
      <xsd:simpleType>
        <xsd:restriction base="dms:Text">
          <xsd:maxLength value="255"/>
        </xsd:restriction>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_x05ea__x05ea__x05ea__x05d7__x05d5__x05dd_" ma:index="40" nillable="true" ma:displayName="תת תחום" ma:default="איכות אוויר" ma:format="Dropdown" ma:internalName="_x05ea__x05ea__x05ea__x05d7__x05d5__x05dd_">
      <xsd:simpleType>
        <xsd:restriction base="dms:Choice">
          <xsd:enumeration value="איכות אוויר"/>
          <xsd:enumeration value="בקרת תפעול ותהליך"/>
          <xsd:enumeration value="גזי חממה"/>
          <xsd:enumeration value="דלקים"/>
          <xsd:enumeration value="חומרים מסוכנים"/>
          <xsd:enumeration value="ייעוץ אירגוני"/>
          <xsd:enumeration value="ייעוץ הנדסי"/>
          <xsd:enumeration value="ייעוץ מט&quot;ש"/>
          <xsd:enumeration value="ייעוץ תשתיות רטובוות"/>
          <xsd:enumeration value="כלכלה"/>
          <xsd:enumeration value="מצאי פליטות"/>
          <xsd:enumeration value="מתקני ביוגז"/>
          <xsd:enumeration value="סביבה"/>
          <xsd:enumeration value="סקר מזהמים"/>
          <xsd:enumeration value="פסולת"/>
          <xsd:enumeration value="קרקעות מזוהמות"/>
          <xsd:enumeration value="רגולציה"/>
          <xsd:enumeration value="ריח"/>
          <xsd:enumeration value="שפכי תעשיה"/>
          <xsd:enumeration value="תחבורה"/>
          <xsd:enumeration value="תכנון מים וביוב"/>
          <xsd:enumeration value="תכנון מט&quot;שים"/>
          <xsd:enumeration value="תכנון תחנות שאיבה"/>
          <xsd:enumeration value="תעשייה"/>
          <xsd:enumeration value="תשתיות"/>
          <xsd:enumeration value="אקלים"/>
          <xsd:enumeration value="קיימות"/>
          <xsd:enumeration value="ניהול נגר"/>
          <xsd:enumeration value="ייעוץ הידרולוגי"/>
          <xsd:enumeration value="בניה ירוקה"/>
        </xsd:restriction>
      </xsd:simpleType>
    </xsd:element>
    <xsd:element name="_x05d0__x05d7__x05e8__x05d0__x05d9__x05ea__x05d9__x05e7__x05d9__x05d9__x05d4_" ma:index="41" nillable="true" ma:displayName="אחראי תיקייה" ma:format="Dropdown" ma:list="UserInfo" ma:SharePointGroup="0" ma:internalName="_x05d0__x05d7__x05e8__x05d0__x05d9__x05ea__x05d9__x05e7__x05d9__x05d9__x05d4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t" ma:index="42" nillable="true" ma:displayName="Revit" ma:default="כן" ma:format="Dropdown" ma:internalName="Revit">
      <xsd:simpleType>
        <xsd:restriction base="dms:Choice">
          <xsd:enumeration value="כן"/>
          <xsd:enumeration value="לא"/>
        </xsd:restriction>
      </xsd:simpleType>
    </xsd:element>
    <xsd:element name="_x05e9__x05dd__x0020__x05d4__x05e1__x05e4__x05e7_" ma:index="43" nillable="true" ma:displayName="שם הספק" ma:internalName="_x05e9__x05dd__x0020__x05d4__x05e1__x05e4__x05e7_">
      <xsd:simpleType>
        <xsd:restriction base="dms:Text">
          <xsd:maxLength value="255"/>
        </xsd:restriction>
      </xsd:simpleType>
    </xsd:element>
    <xsd:element name="_x05ea__x05d7__x05d5__x05dd__x0020__x05e9__x05d9__x05e8__x05d5__x05ea__x0020__x05d4__x05e1__x05e4__x05e7_" ma:index="44" nillable="true" ma:displayName="תחום שירות הספק" ma:internalName="_x05ea__x05d7__x05d5__x05dd__x0020__x05e9__x05d9__x05e8__x05d5__x05ea__x0020__x05d4__x05e1__x05e4__x05e7_">
      <xsd:simpleType>
        <xsd:restriction base="dms:Text">
          <xsd:maxLength value="255"/>
        </xsd:restriction>
      </xsd:simpleType>
    </xsd:element>
    <xsd:element name="_x05d0__x05d9__x05e9__x05e7__x05e9__x05e8__x0028__x05dc__x05e7__x05d5__x05d7__x0029_" ma:index="45" nillable="true" ma:displayName="איש קשר (לקוח)" ma:description="יש להזין את שם איש הקשר" ma:format="Dropdown" ma:internalName="_x05d0__x05d9__x05e9__x05e7__x05e9__x05e8__x0028__x05dc__x05e7__x05d5__x05d7__x0029_">
      <xsd:simpleType>
        <xsd:restriction base="dms:Text">
          <xsd:maxLength value="255"/>
        </xsd:restriction>
      </xsd:simpleType>
    </xsd:element>
    <xsd:element name="_Flow_SignoffStatus" ma:index="46" nillable="true" ma:displayName="Sign-off status" ma:internalName="Sign_x002d_off_x0020_status">
      <xsd:simpleType>
        <xsd:restriction base="dms:Text"/>
      </xsd:simpleType>
    </xsd:element>
    <xsd:element name="Tags" ma:index="47"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Choice 1"/>
                        <xsd:enumeration value="Choice 2"/>
                        <xsd:enumeration value="Choice 3"/>
                      </xsd:restriction>
                    </xsd:simpleType>
                  </xsd:union>
                </xsd:simpleType>
              </xsd:element>
            </xsd:sequence>
          </xsd:extension>
        </xsd:complexContent>
      </xsd:complexType>
    </xsd:element>
    <xsd:element name="ProjectName" ma:index="48" nillable="true" ma:displayName="ProjectName" ma:format="Dropdown" ma:internalName="ProjectName">
      <xsd:simpleType>
        <xsd:restriction base="dms:Text">
          <xsd:maxLength value="255"/>
        </xsd:restriction>
      </xsd:simpleType>
    </xsd:element>
    <xsd:element name="MediaServiceBillingMetadata" ma:index="4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d09e9d-22ec-41c7-abc3-31a4b93de77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181e254-9ac7-4a21-88c7-e7534d9d0b06}" ma:internalName="TaxCatchAll" ma:showField="CatchAllData" ma:web="66de57b7-cc57-4e95-8777-9109a027528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6de57b7-cc57-4e95-8777-9109a0275284"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5ea__x05d7__x05d5__x05dd_ xmlns="00dbb351-a3df-4f49-8be1-37de579110ae" xsi:nil="true"/>
    <lcf76f155ced4ddcb4097134ff3c332f xmlns="00dbb351-a3df-4f49-8be1-37de579110ae">
      <Terms xmlns="http://schemas.microsoft.com/office/infopath/2007/PartnerControls"/>
    </lcf76f155ced4ddcb4097134ff3c332f>
    <Revit xmlns="00dbb351-a3df-4f49-8be1-37de579110ae">כן</Revit>
    <_x05de__x05e0__x05d4__x05dc__x05d4__x05e4__x05e8__x05d5__x05d9__x05e7__x05d8_ xmlns="00dbb351-a3df-4f49-8be1-37de579110ae" xsi:nil="true"/>
    <_x05de__x05d5__x05d3__x05dc__x05d0__x05d9__x05db__x05d5__x05ea__x05d0__x05d5__x05d5__x05d9__x05e8_ xmlns="00dbb351-a3df-4f49-8be1-37de579110ae">כן</_x05de__x05d5__x05d3__x05dc__x05d0__x05d9__x05db__x05d5__x05ea__x05d0__x05d5__x05d5__x05d9__x05e8_>
    <_x05ea__x05ea__x05ea__x05d7__x05d5__x05dd_ xmlns="00dbb351-a3df-4f49-8be1-37de579110ae">איכות אוויר</_x05ea__x05ea__x05ea__x05d7__x05d5__x05dd_>
    <_x05de__x05e1__x05e4__x05e8__x05e4__x05e8__x05d5__x05d9__x05e7__x05d8_ xmlns="00dbb351-a3df-4f49-8be1-37de579110ae" xsi:nil="true"/>
    <_x05de__x05d7__x05dc__x05e7__x05d4_ xmlns="00dbb351-a3df-4f49-8be1-37de579110ae" xsi:nil="true"/>
    <GIS xmlns="00dbb351-a3df-4f49-8be1-37de579110ae">כן</GIS>
    <_x05de__x05e1__x05d4__x05e6__x05e2__x05ea__x05de__x05d7__x05d9__x05e8_ xmlns="00dbb351-a3df-4f49-8be1-37de579110ae" xsi:nil="true"/>
    <_x05de__x05d5__x05d3__x05e8__x05d4__x05d9__x05d3__x05e8__x05d5__x05dc__x05d5__x05d2__x05d9_ xmlns="00dbb351-a3df-4f49-8be1-37de579110ae">כן</_x05de__x05d5__x05d3__x05e8__x05d4__x05d9__x05d3__x05e8__x05d5__x05dc__x05d5__x05d2__x05d9_>
    <_x05e9__x05dd__x05d4__x05dc__x05e7__x05d5__x05d7__x0028__x05d7__x05d1__x05e8__x05d4__x0029_ xmlns="00dbb351-a3df-4f49-8be1-37de579110ae" xsi:nil="true"/>
    <_x05d0__x05d9__x05e9__x05e7__x05e9__x05e8__x0028__x05dc__x05e7__x05d5__x05d7__x0029_ xmlns="00dbb351-a3df-4f49-8be1-37de579110ae" xsi:nil="true"/>
    <Tags xmlns="00dbb351-a3df-4f49-8be1-37de579110ae" xsi:nil="true"/>
    <_x05de__x05e0__x05d4__x05dc__x05d4__x05e6__x05e2__x05ea__x05d4__x05de__x05d7__x05d9__x05e8_ xmlns="00dbb351-a3df-4f49-8be1-37de579110ae" xsi:nil="true"/>
    <_x05d0__x05d7__x05e8__x05d0__x05d9__x05ea__x05d9__x05e7__x05d9__x05d9__x05d4_ xmlns="00dbb351-a3df-4f49-8be1-37de579110ae">
      <UserInfo>
        <DisplayName/>
        <AccountId xsi:nil="true"/>
        <AccountType/>
      </UserInfo>
    </_x05d0__x05d7__x05e8__x05d0__x05d9__x05ea__x05d9__x05e7__x05d9__x05d9__x05d4_>
    <_x05e9__x05dd__x0020__x05d4__x05e1__x05e4__x05e7_ xmlns="00dbb351-a3df-4f49-8be1-37de579110ae" xsi:nil="true"/>
    <_Flow_SignoffStatus xmlns="00dbb351-a3df-4f49-8be1-37de579110ae" xsi:nil="true"/>
    <ProjectName xmlns="00dbb351-a3df-4f49-8be1-37de579110ae" xsi:nil="true"/>
    <_x05d0__x05d5__x05d8__x05d5__x05e7__x05d3_ xmlns="00dbb351-a3df-4f49-8be1-37de579110ae">כן</_x05d0__x05d5__x05d8__x05d5__x05e7__x05d3_>
    <_x05ea__x05d7__x05d5__x05dd__x0020__x05e9__x05d9__x05e8__x05d5__x05ea__x0020__x05d4__x05e1__x05e4__x05e7_ xmlns="00dbb351-a3df-4f49-8be1-37de579110ae" xsi:nil="true"/>
    <_x05e9__x05dd__x05dc__x05e7__x05d5__x05d7_ xmlns="00dbb351-a3df-4f49-8be1-37de579110ae" xsi:nil="true"/>
    <TaxCatchAll xmlns="6bd09e9d-22ec-41c7-abc3-31a4b93de77c" xsi:nil="true"/>
    <_x05ea__x05d9__x05d5__x05d2__x05d9__x05dd_ xmlns="00dbb351-a3df-4f49-8be1-37de579110ae" xsi:nil="true"/>
    <_x05e9__x05dd__x05d4__x05e6__x05e2__x05ea__x05d4__x05de__x05d7__x05d9__x05e8_ xmlns="00dbb351-a3df-4f49-8be1-37de579110ae" xsi:nil="true"/>
    <_x05e9__x05dd__x05e4__x05e8__x05d5__x05d9__x05e7__x05d8_ xmlns="00dbb351-a3df-4f49-8be1-37de579110ae" xsi:nil="true"/>
  </documentManagement>
</p:properties>
</file>

<file path=customXml/itemProps1.xml><?xml version="1.0" encoding="utf-8"?>
<ds:datastoreItem xmlns:ds="http://schemas.openxmlformats.org/officeDocument/2006/customXml" ds:itemID="{14884DDD-2E0D-402C-A483-D177055ACCA5}"/>
</file>

<file path=customXml/itemProps2.xml><?xml version="1.0" encoding="utf-8"?>
<ds:datastoreItem xmlns:ds="http://schemas.openxmlformats.org/officeDocument/2006/customXml" ds:itemID="{0CDDEFC8-772B-44F6-A47A-7438583A1C35}"/>
</file>

<file path=customXml/itemProps3.xml><?xml version="1.0" encoding="utf-8"?>
<ds:datastoreItem xmlns:ds="http://schemas.openxmlformats.org/officeDocument/2006/customXml" ds:itemID="{0D12DA59-53D5-42B1-B1F8-6BEA13C2FD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11</vt:i4>
      </vt:variant>
    </vt:vector>
  </HeadingPairs>
  <TitlesOfParts>
    <vt:vector size="11" baseType="lpstr">
      <vt:lpstr>סיכום</vt:lpstr>
      <vt:lpstr>ספיקות</vt:lpstr>
      <vt:lpstr>איכות שפכים</vt:lpstr>
      <vt:lpstr>קולחין שניוני</vt:lpstr>
      <vt:lpstr>קולחין שלישוני</vt:lpstr>
      <vt:lpstr>יחידת טיפול </vt:lpstr>
      <vt:lpstr>טיפול וסילוק בוצה</vt:lpstr>
      <vt:lpstr>עומסי שפכים וצריכת אנרגיה</vt:lpstr>
      <vt:lpstr>גרף ספיקות כניסה</vt:lpstr>
      <vt:lpstr>גרף אנרגיה עומסים</vt:lpstr>
      <vt:lpstr>Table</vt:lpstr>
    </vt:vector>
  </TitlesOfParts>
  <Company>P.C.S CONTROL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מלאכי טל</dc:creator>
  <cp:lastModifiedBy>Mehandes Lehavim</cp:lastModifiedBy>
  <cp:lastPrinted>2012-11-04T11:13:56Z</cp:lastPrinted>
  <dcterms:created xsi:type="dcterms:W3CDTF">1997-10-22T09:25:10Z</dcterms:created>
  <dcterms:modified xsi:type="dcterms:W3CDTF">2026-04-13T10:41:08Z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0x010100B5A929D2B6A61B49B905C058A761E22E</vt:lpwstr>
  </property>
</Properties>
</file>